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C:\Users\CERSA\Desktop\PTBA2022\"/>
    </mc:Choice>
  </mc:AlternateContent>
  <bookViews>
    <workbookView xWindow="0" yWindow="0" windowWidth="24000" windowHeight="9630" activeTab="1"/>
  </bookViews>
  <sheets>
    <sheet name="RECAP" sheetId="28" r:id="rId1"/>
    <sheet name="PTBA 2022" sheetId="1" r:id="rId2"/>
    <sheet name="RECAP PTBA 2022" sheetId="2" state="hidden" r:id="rId3"/>
    <sheet name="calcul" sheetId="3" state="hidden" r:id="rId4"/>
    <sheet name="C1" sheetId="4" state="hidden" r:id="rId5"/>
    <sheet name="C1A" sheetId="5" state="hidden" r:id="rId6"/>
    <sheet name="C1B" sheetId="6" state="hidden" r:id="rId7"/>
    <sheet name="C1C" sheetId="7" state="hidden" r:id="rId8"/>
    <sheet name="C1D" sheetId="8" state="hidden" r:id="rId9"/>
    <sheet name="C2" sheetId="14" state="hidden" r:id="rId10"/>
    <sheet name="C2A" sheetId="15" state="hidden" r:id="rId11"/>
    <sheet name="C2B" sheetId="16" state="hidden" r:id="rId12"/>
    <sheet name="C2C" sheetId="17" state="hidden" r:id="rId13"/>
    <sheet name="C3" sheetId="9" state="hidden" r:id="rId14"/>
    <sheet name="C3A" sheetId="10" state="hidden" r:id="rId15"/>
    <sheet name="C3B" sheetId="11" state="hidden" r:id="rId16"/>
    <sheet name="C3C" sheetId="13" state="hidden" r:id="rId17"/>
    <sheet name="C3D" sheetId="18" state="hidden" r:id="rId18"/>
    <sheet name="C3E" sheetId="19" state="hidden" r:id="rId19"/>
    <sheet name="C4" sheetId="20" state="hidden" r:id="rId20"/>
    <sheet name="C4A" sheetId="21" state="hidden" r:id="rId21"/>
    <sheet name="C4B" sheetId="22" state="hidden" r:id="rId22"/>
    <sheet name="C4C" sheetId="23" state="hidden" r:id="rId23"/>
    <sheet name="C4D" sheetId="24" state="hidden" r:id="rId24"/>
    <sheet name="C5" sheetId="25" state="hidden" r:id="rId25"/>
    <sheet name="C5A" sheetId="26" state="hidden" r:id="rId26"/>
    <sheet name="C5B" sheetId="27" state="hidden" r:id="rId27"/>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112" i="1" l="1"/>
  <c r="C5" i="28"/>
  <c r="C8" i="28" l="1"/>
  <c r="C7" i="28" l="1"/>
  <c r="C6" i="28"/>
  <c r="C4" i="28"/>
  <c r="C9" i="28" l="1"/>
  <c r="E6" i="28" s="1"/>
  <c r="D4" i="28"/>
  <c r="D5" i="28"/>
  <c r="D6" i="28"/>
  <c r="D7" i="28"/>
  <c r="D8" i="28"/>
  <c r="E7" i="28" l="1"/>
  <c r="E5" i="28"/>
  <c r="E8" i="28"/>
  <c r="E9" i="28"/>
  <c r="D9" i="28"/>
  <c r="E4" i="28"/>
  <c r="A107" i="1"/>
  <c r="A95" i="1"/>
  <c r="A92" i="1"/>
  <c r="J9" i="27" l="1"/>
  <c r="J11" i="27"/>
  <c r="J12" i="21"/>
  <c r="K10" i="21"/>
  <c r="L10" i="21" s="1"/>
  <c r="M10" i="5"/>
  <c r="I17" i="21" l="1"/>
  <c r="B5" i="23"/>
  <c r="J5" i="22"/>
  <c r="I5" i="16" l="1"/>
  <c r="J6" i="13" l="1"/>
  <c r="I8" i="10"/>
  <c r="I7" i="10"/>
  <c r="I10" i="10" s="1"/>
  <c r="J12" i="27"/>
  <c r="J11" i="18"/>
  <c r="J8" i="18"/>
  <c r="J10" i="18"/>
  <c r="J7" i="18"/>
  <c r="J6" i="18"/>
  <c r="K9" i="18"/>
  <c r="J12" i="18" l="1"/>
  <c r="I9" i="26"/>
  <c r="K8" i="26"/>
  <c r="K7" i="26"/>
  <c r="L5" i="24"/>
  <c r="L7" i="23"/>
  <c r="M6" i="23"/>
  <c r="M5" i="23"/>
  <c r="A6" i="21" l="1"/>
  <c r="A7" i="21" s="1"/>
  <c r="A8" i="21" l="1"/>
  <c r="A10" i="21" s="1"/>
  <c r="A11" i="21" s="1"/>
  <c r="A12" i="21" s="1"/>
  <c r="A13" i="21" s="1"/>
  <c r="A14" i="21" s="1"/>
  <c r="A15" i="21" s="1"/>
  <c r="A16" i="21" s="1"/>
  <c r="L9" i="19"/>
  <c r="M8" i="19"/>
  <c r="J10" i="19"/>
  <c r="L7" i="19"/>
  <c r="L6" i="19"/>
  <c r="L5" i="19"/>
  <c r="F11" i="13"/>
  <c r="L10" i="13"/>
  <c r="L6" i="16" l="1"/>
  <c r="M5" i="5" l="1"/>
  <c r="O5" i="5" s="1"/>
  <c r="K7" i="5"/>
  <c r="M7" i="5" s="1"/>
  <c r="M6" i="7" l="1"/>
  <c r="L6" i="7"/>
  <c r="L5" i="7"/>
  <c r="J23" i="5" l="1"/>
  <c r="N22" i="5"/>
  <c r="M21" i="5"/>
  <c r="N21" i="5" s="1"/>
  <c r="M18" i="5"/>
  <c r="M16" i="5"/>
  <c r="N16" i="5" s="1"/>
  <c r="M15" i="5"/>
  <c r="P14" i="5"/>
  <c r="O14" i="5"/>
  <c r="T13" i="5"/>
  <c r="S13" i="5"/>
  <c r="O11" i="5"/>
  <c r="P11" i="5" s="1"/>
  <c r="G8" i="5"/>
  <c r="L7" i="16" l="1"/>
  <c r="M7" i="16" s="1"/>
  <c r="N8" i="27"/>
  <c r="M9" i="27"/>
  <c r="M8" i="27"/>
  <c r="M7" i="27"/>
  <c r="M6" i="27"/>
  <c r="K6" i="26"/>
  <c r="K5" i="26"/>
  <c r="K8" i="21"/>
  <c r="K6" i="23"/>
  <c r="K7" i="19"/>
  <c r="K8" i="19"/>
  <c r="K9" i="19"/>
  <c r="K6" i="19"/>
  <c r="N19" i="5"/>
  <c r="M6" i="16"/>
  <c r="L6" i="15" l="1"/>
  <c r="L7" i="15"/>
  <c r="L8" i="15"/>
  <c r="N8" i="15" s="1"/>
  <c r="L5" i="15"/>
  <c r="G9" i="7"/>
  <c r="K6" i="6"/>
  <c r="M6" i="6"/>
  <c r="L5" i="6"/>
  <c r="M5" i="6" s="1"/>
  <c r="K5" i="6"/>
  <c r="N20" i="5"/>
  <c r="M17" i="5"/>
  <c r="N17" i="5" s="1"/>
  <c r="M14" i="5" l="1"/>
  <c r="N14" i="5" s="1"/>
  <c r="P13" i="5"/>
  <c r="L12" i="5"/>
  <c r="N12" i="5"/>
  <c r="N11" i="5"/>
  <c r="N10" i="5"/>
  <c r="L6" i="5"/>
  <c r="L7" i="5"/>
  <c r="L8" i="5"/>
  <c r="L9" i="5"/>
  <c r="L11" i="5"/>
  <c r="L13" i="5"/>
  <c r="L14" i="5"/>
  <c r="L15" i="5"/>
  <c r="L16" i="5"/>
  <c r="L17" i="5"/>
  <c r="L18" i="5"/>
  <c r="L19" i="5"/>
  <c r="L20" i="5"/>
  <c r="L21" i="5"/>
  <c r="L22" i="5"/>
  <c r="L5" i="5"/>
  <c r="J7" i="7"/>
  <c r="L7" i="7" s="1"/>
  <c r="D6" i="4"/>
  <c r="J7" i="6"/>
  <c r="D7" i="4" s="1"/>
  <c r="I6" i="8"/>
  <c r="D9" i="4" s="1"/>
  <c r="I9" i="15"/>
  <c r="I8" i="16"/>
  <c r="C5" i="14" s="1"/>
  <c r="J6" i="17"/>
  <c r="C6" i="14" s="1"/>
  <c r="C5" i="9"/>
  <c r="J7" i="11"/>
  <c r="C6" i="9" s="1"/>
  <c r="J11" i="13"/>
  <c r="C7" i="9" s="1"/>
  <c r="C8" i="9"/>
  <c r="C9" i="9"/>
  <c r="J7" i="24"/>
  <c r="C8" i="20"/>
  <c r="C5" i="20"/>
  <c r="A6" i="22"/>
  <c r="I7" i="22"/>
  <c r="C6" i="20" s="1"/>
  <c r="J8" i="23"/>
  <c r="C7" i="20" s="1"/>
  <c r="C6" i="25"/>
  <c r="C5" i="25"/>
  <c r="G6" i="27"/>
  <c r="G7" i="27"/>
  <c r="I7" i="27" s="1"/>
  <c r="G8" i="27"/>
  <c r="I8" i="27" s="1"/>
  <c r="G9" i="27"/>
  <c r="I9" i="27" s="1"/>
  <c r="G10" i="27"/>
  <c r="I10" i="27" s="1"/>
  <c r="G5" i="27"/>
  <c r="I6" i="27"/>
  <c r="I5" i="27"/>
  <c r="B6" i="27"/>
  <c r="B7" i="27" s="1"/>
  <c r="B8" i="27" s="1"/>
  <c r="B9" i="27" s="1"/>
  <c r="B10" i="27" s="1"/>
  <c r="F6" i="26"/>
  <c r="H6" i="26" s="1"/>
  <c r="F5" i="26"/>
  <c r="H5" i="26"/>
  <c r="G6" i="24"/>
  <c r="I6" i="24" s="1"/>
  <c r="G5" i="24"/>
  <c r="I5" i="24"/>
  <c r="B5" i="24"/>
  <c r="B6" i="24" s="1"/>
  <c r="G5" i="23"/>
  <c r="I5" i="23" s="1"/>
  <c r="G6" i="23"/>
  <c r="I6" i="23" s="1"/>
  <c r="G7" i="23"/>
  <c r="I7" i="23" s="1"/>
  <c r="B6" i="23"/>
  <c r="B7" i="23" s="1"/>
  <c r="F5" i="22"/>
  <c r="H5" i="22" s="1"/>
  <c r="F6" i="22"/>
  <c r="H6" i="22"/>
  <c r="F6" i="21"/>
  <c r="H6" i="21" s="1"/>
  <c r="F7" i="21"/>
  <c r="F5" i="21"/>
  <c r="H5" i="21" s="1"/>
  <c r="H7" i="21"/>
  <c r="G6" i="19"/>
  <c r="I6" i="19" s="1"/>
  <c r="G7" i="19"/>
  <c r="I7" i="19" s="1"/>
  <c r="G8" i="19"/>
  <c r="I8" i="19" s="1"/>
  <c r="G9" i="19"/>
  <c r="G5" i="19"/>
  <c r="I5" i="19" s="1"/>
  <c r="B6" i="19"/>
  <c r="B7" i="19" s="1"/>
  <c r="B8" i="19" s="1"/>
  <c r="B9" i="19" s="1"/>
  <c r="G6" i="18"/>
  <c r="I6" i="18" s="1"/>
  <c r="G7" i="18"/>
  <c r="I7" i="18" s="1"/>
  <c r="G8" i="18"/>
  <c r="I8" i="18" s="1"/>
  <c r="G5" i="18"/>
  <c r="I5" i="18" s="1"/>
  <c r="B6" i="18"/>
  <c r="B7" i="18" s="1"/>
  <c r="B8" i="18" s="1"/>
  <c r="B9" i="18" s="1"/>
  <c r="B10" i="18" s="1"/>
  <c r="B11" i="18" s="1"/>
  <c r="G6" i="13"/>
  <c r="I6" i="13" s="1"/>
  <c r="G7" i="13"/>
  <c r="I7" i="13" s="1"/>
  <c r="G8" i="13"/>
  <c r="I8" i="13" s="1"/>
  <c r="G9" i="13"/>
  <c r="I9" i="13" s="1"/>
  <c r="G10" i="13"/>
  <c r="I10" i="13" s="1"/>
  <c r="G5" i="13"/>
  <c r="I5" i="13" s="1"/>
  <c r="B6" i="13"/>
  <c r="B7" i="13" s="1"/>
  <c r="B8" i="13" s="1"/>
  <c r="B9" i="13" s="1"/>
  <c r="B10" i="13" s="1"/>
  <c r="G6" i="11"/>
  <c r="I6" i="11" s="1"/>
  <c r="G5" i="11"/>
  <c r="I5" i="11" s="1"/>
  <c r="G5" i="17"/>
  <c r="I5" i="17" s="1"/>
  <c r="B5" i="17"/>
  <c r="F6" i="16"/>
  <c r="H6" i="16" s="1"/>
  <c r="F7" i="16"/>
  <c r="H7" i="16" s="1"/>
  <c r="F5" i="16"/>
  <c r="H5" i="16" s="1"/>
  <c r="A6" i="16"/>
  <c r="A7" i="16" s="1"/>
  <c r="F6" i="15"/>
  <c r="H6" i="15" s="1"/>
  <c r="F7" i="15"/>
  <c r="H7" i="15" s="1"/>
  <c r="F8" i="15"/>
  <c r="H8" i="15" s="1"/>
  <c r="F5" i="15"/>
  <c r="H5" i="15"/>
  <c r="F6" i="10"/>
  <c r="H6" i="10" s="1"/>
  <c r="F7" i="10"/>
  <c r="H7" i="10" s="1"/>
  <c r="F8" i="10"/>
  <c r="H8" i="10" s="1"/>
  <c r="F5" i="10"/>
  <c r="H5" i="10" s="1"/>
  <c r="A6" i="10"/>
  <c r="A7" i="10" s="1"/>
  <c r="A8" i="10" s="1"/>
  <c r="F5" i="8"/>
  <c r="H5" i="8" s="1"/>
  <c r="G6" i="7"/>
  <c r="I6" i="7" s="1"/>
  <c r="G5" i="7"/>
  <c r="I5" i="7" s="1"/>
  <c r="B5" i="7"/>
  <c r="B6" i="7" s="1"/>
  <c r="D8" i="4" l="1"/>
  <c r="I9" i="19"/>
  <c r="M9" i="19"/>
  <c r="N9" i="19" s="1"/>
  <c r="T14" i="5"/>
  <c r="U14" i="5" s="1"/>
  <c r="Q13" i="5"/>
  <c r="R13" i="5" s="1"/>
  <c r="D10" i="4"/>
  <c r="C4" i="2" s="1"/>
  <c r="C4" i="14"/>
  <c r="L9" i="15"/>
  <c r="C7" i="25"/>
  <c r="C8" i="2" s="1"/>
  <c r="C9" i="20"/>
  <c r="C7" i="2" s="1"/>
  <c r="C10" i="9"/>
  <c r="C6" i="2" s="1"/>
  <c r="C7" i="14"/>
  <c r="C5" i="2" s="1"/>
  <c r="G6" i="6"/>
  <c r="I6" i="6" s="1"/>
  <c r="G5" i="6"/>
  <c r="I5" i="6" s="1"/>
  <c r="B5" i="6"/>
  <c r="B6" i="6" s="1"/>
  <c r="G6" i="5"/>
  <c r="I6" i="5" s="1"/>
  <c r="G7" i="5"/>
  <c r="I8" i="5"/>
  <c r="G9" i="5"/>
  <c r="I9" i="5" s="1"/>
  <c r="G10" i="5"/>
  <c r="I10" i="5" s="1"/>
  <c r="G11" i="5"/>
  <c r="I11" i="5" s="1"/>
  <c r="G12" i="5"/>
  <c r="I12" i="5" s="1"/>
  <c r="G13" i="5"/>
  <c r="G14" i="5"/>
  <c r="G15" i="5"/>
  <c r="I15" i="5" s="1"/>
  <c r="G16" i="5"/>
  <c r="I16" i="5" s="1"/>
  <c r="G17" i="5"/>
  <c r="I17" i="5" s="1"/>
  <c r="G18" i="5"/>
  <c r="G19" i="5"/>
  <c r="G21" i="5"/>
  <c r="I21" i="5" s="1"/>
  <c r="G22" i="5"/>
  <c r="I22" i="5" s="1"/>
  <c r="G5" i="5"/>
  <c r="F20" i="5"/>
  <c r="G20" i="5" s="1"/>
  <c r="I19" i="5"/>
  <c r="I18" i="5"/>
  <c r="I14" i="5"/>
  <c r="I13" i="5"/>
  <c r="I7" i="5"/>
  <c r="B6" i="5"/>
  <c r="B7" i="5" s="1"/>
  <c r="B8" i="5" s="1"/>
  <c r="B9" i="5" s="1"/>
  <c r="B10" i="5" s="1"/>
  <c r="B11" i="5" s="1"/>
  <c r="B12" i="5" s="1"/>
  <c r="B13" i="5" s="1"/>
  <c r="B14" i="5" s="1"/>
  <c r="B15" i="5" s="1"/>
  <c r="B16" i="5" s="1"/>
  <c r="B17" i="5" s="1"/>
  <c r="B18" i="5" s="1"/>
  <c r="B19" i="5" s="1"/>
  <c r="B20" i="5" s="1"/>
  <c r="B21" i="5" s="1"/>
  <c r="B22" i="5" s="1"/>
  <c r="I5" i="5"/>
  <c r="I20" i="5" l="1"/>
  <c r="F10" i="4" l="1"/>
  <c r="J44" i="3" l="1"/>
  <c r="K44" i="3" s="1"/>
  <c r="J39" i="3"/>
  <c r="J38" i="3"/>
  <c r="J37" i="3"/>
  <c r="C56" i="3"/>
  <c r="C58" i="3" s="1"/>
  <c r="C59" i="3" s="1"/>
  <c r="D59" i="3" s="1"/>
  <c r="A37" i="3"/>
  <c r="A38" i="3" s="1"/>
  <c r="A39" i="3" s="1"/>
  <c r="A40" i="3" s="1"/>
  <c r="A41" i="3" s="1"/>
  <c r="A42" i="3" s="1"/>
  <c r="A44" i="3" s="1"/>
  <c r="A45" i="3" s="1"/>
  <c r="A46" i="3" s="1"/>
  <c r="A47" i="3" s="1"/>
  <c r="A48" i="3" s="1"/>
  <c r="A49" i="3" s="1"/>
  <c r="A50" i="3" s="1"/>
  <c r="D31" i="3"/>
  <c r="D32" i="3"/>
  <c r="A38" i="1"/>
  <c r="A39" i="1" s="1"/>
  <c r="A40" i="1" s="1"/>
  <c r="C9" i="2" l="1"/>
  <c r="D34" i="3"/>
  <c r="E34" i="3" s="1"/>
  <c r="J40" i="3"/>
  <c r="K40" i="3" s="1"/>
  <c r="K41" i="3" s="1"/>
  <c r="L41" i="3" s="1"/>
  <c r="A74" i="1"/>
  <c r="A75" i="1" s="1"/>
  <c r="A76" i="1" s="1"/>
  <c r="A77" i="1" s="1"/>
  <c r="A78" i="1" s="1"/>
  <c r="A79" i="1" s="1"/>
  <c r="D6" i="2" l="1"/>
  <c r="C24" i="3"/>
  <c r="D24" i="3" s="1"/>
  <c r="D9" i="3" l="1"/>
  <c r="E18" i="3" l="1"/>
  <c r="E17" i="3"/>
  <c r="D18" i="3"/>
  <c r="D17" i="3"/>
  <c r="E10" i="3"/>
  <c r="D10" i="3"/>
  <c r="E8" i="3"/>
  <c r="D8" i="3"/>
  <c r="H18" i="3"/>
  <c r="G18" i="3"/>
  <c r="H17" i="3"/>
  <c r="G17" i="3"/>
  <c r="H10" i="3"/>
  <c r="G10" i="3"/>
  <c r="H8" i="3"/>
  <c r="G8" i="3"/>
  <c r="F18" i="3"/>
  <c r="F17" i="3"/>
  <c r="F10" i="3"/>
  <c r="F8" i="3"/>
  <c r="C19" i="3"/>
  <c r="H19" i="3" s="1"/>
  <c r="B19" i="3"/>
  <c r="D19" i="3" s="1"/>
  <c r="C11" i="3"/>
  <c r="B11" i="3"/>
  <c r="D8" i="2"/>
  <c r="D7" i="2"/>
  <c r="D5" i="2"/>
  <c r="D4" i="2"/>
  <c r="A5" i="2"/>
  <c r="A6" i="2" s="1"/>
  <c r="A7" i="2" s="1"/>
  <c r="A8" i="2" s="1"/>
  <c r="A67" i="1"/>
  <c r="A68" i="1" s="1"/>
  <c r="A69" i="1" s="1"/>
  <c r="A70" i="1" s="1"/>
  <c r="A71" i="1" s="1"/>
  <c r="A72" i="1" s="1"/>
  <c r="H11" i="3" l="1"/>
  <c r="E11" i="3"/>
  <c r="C20" i="3"/>
  <c r="F20" i="3" s="1"/>
  <c r="G19" i="3"/>
  <c r="H20" i="3" s="1"/>
  <c r="G11" i="3"/>
  <c r="H13" i="3" s="1"/>
  <c r="D11" i="3"/>
  <c r="F19" i="3"/>
  <c r="E19" i="3"/>
  <c r="E20" i="3" s="1"/>
  <c r="F11" i="3"/>
  <c r="C13" i="3"/>
  <c r="F13" i="3" s="1"/>
  <c r="D9" i="2"/>
  <c r="A99" i="1"/>
  <c r="E13" i="3" l="1"/>
  <c r="I20" i="3"/>
  <c r="J20" i="3" s="1"/>
  <c r="F9" i="2"/>
  <c r="F8" i="2"/>
  <c r="F5" i="2"/>
  <c r="F4" i="2"/>
  <c r="F7" i="2"/>
  <c r="F6" i="2"/>
  <c r="I13" i="3"/>
  <c r="A102" i="1"/>
  <c r="J13" i="3" l="1"/>
  <c r="I21" i="3"/>
  <c r="I22" i="3" s="1"/>
  <c r="A93" i="1"/>
  <c r="A32" i="1"/>
  <c r="A33" i="1" s="1"/>
  <c r="A35" i="1" s="1"/>
  <c r="A41" i="1" s="1"/>
  <c r="A43" i="1" s="1"/>
  <c r="A44" i="1" s="1"/>
  <c r="A45" i="1" s="1"/>
  <c r="A46" i="1" s="1"/>
  <c r="A11" i="1"/>
  <c r="A12" i="1" s="1"/>
  <c r="A13" i="1" s="1"/>
  <c r="A14" i="1" s="1"/>
  <c r="A15" i="1" s="1"/>
  <c r="A16" i="1" s="1"/>
  <c r="A17" i="1" s="1"/>
  <c r="A18" i="1" s="1"/>
  <c r="A19" i="1" s="1"/>
  <c r="A20" i="1" s="1"/>
  <c r="A21" i="1" s="1"/>
  <c r="A48" i="1" l="1"/>
  <c r="A51" i="1" s="1"/>
  <c r="A52" i="1" s="1"/>
  <c r="A53" i="1" s="1"/>
  <c r="A54" i="1" s="1"/>
  <c r="A55" i="1" s="1"/>
  <c r="A22" i="1"/>
  <c r="A23" i="1" s="1"/>
  <c r="A24" i="1" s="1"/>
  <c r="A25" i="1" s="1"/>
  <c r="A26" i="1" s="1"/>
  <c r="A27" i="1" s="1"/>
  <c r="A29" i="1"/>
  <c r="A30" i="1" s="1"/>
  <c r="A96" i="1"/>
  <c r="A97" i="1" s="1"/>
  <c r="A57" i="1" l="1"/>
  <c r="A58" i="1" s="1"/>
  <c r="A103" i="1"/>
  <c r="A104" i="1" s="1"/>
  <c r="A105" i="1" s="1"/>
  <c r="A108" i="1" l="1"/>
  <c r="A109" i="1" s="1"/>
  <c r="A110" i="1" s="1"/>
  <c r="A60" i="1"/>
  <c r="A61" i="1" s="1"/>
  <c r="A62" i="1" l="1"/>
  <c r="A63" i="1" s="1"/>
  <c r="A64" i="1" s="1"/>
  <c r="A82" i="1"/>
  <c r="A83" i="1" l="1"/>
  <c r="A84" i="1" s="1"/>
  <c r="A85" i="1" s="1"/>
  <c r="A86" i="1" s="1"/>
  <c r="A87" i="1" s="1"/>
  <c r="A88" i="1" s="1"/>
  <c r="A89" i="1" s="1"/>
  <c r="A90" i="1" s="1"/>
</calcChain>
</file>

<file path=xl/comments1.xml><?xml version="1.0" encoding="utf-8"?>
<comments xmlns="http://schemas.openxmlformats.org/spreadsheetml/2006/main">
  <authors>
    <author>Schenineda</author>
    <author>CERSA</author>
  </authors>
  <commentList>
    <comment ref="W6" authorId="0" shapeId="0">
      <text>
        <r>
          <rPr>
            <b/>
            <sz val="9"/>
            <color indexed="81"/>
            <rFont val="Tahoma"/>
            <family val="2"/>
          </rPr>
          <t>Schenineda:</t>
        </r>
        <r>
          <rPr>
            <sz val="9"/>
            <color indexed="81"/>
            <rFont val="Tahoma"/>
            <family val="2"/>
          </rPr>
          <t xml:space="preserve">
If the addition of an activity or component requires further clarification, state it. Expecially since COVID may alter center activities and focus</t>
        </r>
      </text>
    </comment>
    <comment ref="X10" authorId="1" shapeId="0">
      <text>
        <r>
          <rPr>
            <b/>
            <sz val="9"/>
            <color indexed="81"/>
            <rFont val="Tahoma"/>
            <family val="2"/>
          </rPr>
          <t>CERSA:</t>
        </r>
        <r>
          <rPr>
            <sz val="9"/>
            <color indexed="81"/>
            <rFont val="Tahoma"/>
            <family val="2"/>
          </rPr>
          <t xml:space="preserve">
AO 3 publications (2 sur 1/2 page et 1 sur 1/4 page)
AC 2 sur 1/2 page publications </t>
        </r>
      </text>
    </comment>
    <comment ref="B11" authorId="1" shapeId="0">
      <text>
        <r>
          <rPr>
            <b/>
            <sz val="9"/>
            <color indexed="81"/>
            <rFont val="Tahoma"/>
            <family val="2"/>
          </rPr>
          <t>CERSA:</t>
        </r>
        <r>
          <rPr>
            <sz val="9"/>
            <color indexed="81"/>
            <rFont val="Tahoma"/>
            <family val="2"/>
          </rPr>
          <t xml:space="preserve">
Programmer une réunion pour 2022</t>
        </r>
      </text>
    </comment>
    <comment ref="B12" authorId="1" shapeId="0">
      <text>
        <r>
          <rPr>
            <b/>
            <sz val="9"/>
            <color indexed="81"/>
            <rFont val="Tahoma"/>
            <family val="2"/>
          </rPr>
          <t>CERSA:</t>
        </r>
        <r>
          <rPr>
            <sz val="9"/>
            <color indexed="81"/>
            <rFont val="Tahoma"/>
            <family val="2"/>
          </rPr>
          <t xml:space="preserve">
Revoir pour tenir compte de 3 techniciens de labo</t>
        </r>
      </text>
    </comment>
    <comment ref="X12" authorId="1" shapeId="0">
      <text>
        <r>
          <rPr>
            <b/>
            <sz val="9"/>
            <color indexed="81"/>
            <rFont val="Tahoma"/>
            <family val="2"/>
          </rPr>
          <t>CERSA:</t>
        </r>
        <r>
          <rPr>
            <sz val="9"/>
            <color indexed="81"/>
            <rFont val="Tahoma"/>
            <family val="2"/>
          </rPr>
          <t xml:space="preserve">
Recalculer la masse salariale en prenant en compte la rémunération des techniciens de labo
</t>
        </r>
      </text>
    </comment>
    <comment ref="B26" authorId="1" shapeId="0">
      <text>
        <r>
          <rPr>
            <b/>
            <sz val="9"/>
            <color indexed="81"/>
            <rFont val="Tahoma"/>
            <family val="2"/>
          </rPr>
          <t>CERSA:</t>
        </r>
        <r>
          <rPr>
            <sz val="9"/>
            <color indexed="81"/>
            <rFont val="Tahoma"/>
            <family val="2"/>
          </rPr>
          <t xml:space="preserve">
Reconduction du montant </t>
        </r>
      </text>
    </comment>
  </commentList>
</comments>
</file>

<file path=xl/comments2.xml><?xml version="1.0" encoding="utf-8"?>
<comments xmlns="http://schemas.openxmlformats.org/spreadsheetml/2006/main">
  <authors>
    <author>CERSA</author>
  </authors>
  <commentList>
    <comment ref="J5" authorId="0" shapeId="0">
      <text>
        <r>
          <rPr>
            <b/>
            <sz val="9"/>
            <color indexed="81"/>
            <rFont val="Tahoma"/>
            <family val="2"/>
          </rPr>
          <t>CERSA:</t>
        </r>
        <r>
          <rPr>
            <sz val="9"/>
            <color indexed="81"/>
            <rFont val="Tahoma"/>
            <family val="2"/>
          </rPr>
          <t xml:space="preserve">
AO 3 publications (2 sur 1/2 page et 1 sur 1/4 page)
AC 2 sur 1/2 page publications </t>
        </r>
      </text>
    </comment>
    <comment ref="C6" authorId="0" shapeId="0">
      <text>
        <r>
          <rPr>
            <b/>
            <sz val="9"/>
            <color indexed="81"/>
            <rFont val="Tahoma"/>
            <family val="2"/>
          </rPr>
          <t>CERSA:</t>
        </r>
        <r>
          <rPr>
            <sz val="9"/>
            <color indexed="81"/>
            <rFont val="Tahoma"/>
            <family val="2"/>
          </rPr>
          <t xml:space="preserve">
Programmer une réunion pour 2022</t>
        </r>
      </text>
    </comment>
    <comment ref="C7" authorId="0" shapeId="0">
      <text>
        <r>
          <rPr>
            <b/>
            <sz val="9"/>
            <color indexed="81"/>
            <rFont val="Tahoma"/>
            <family val="2"/>
          </rPr>
          <t>CERSA:</t>
        </r>
        <r>
          <rPr>
            <sz val="9"/>
            <color indexed="81"/>
            <rFont val="Tahoma"/>
            <family val="2"/>
          </rPr>
          <t xml:space="preserve">
Revoir pour tenir compte de 3 techniciens de labo</t>
        </r>
      </text>
    </comment>
    <comment ref="J7" authorId="0" shapeId="0">
      <text>
        <r>
          <rPr>
            <b/>
            <sz val="9"/>
            <color indexed="81"/>
            <rFont val="Tahoma"/>
            <family val="2"/>
          </rPr>
          <t>CERSA:</t>
        </r>
        <r>
          <rPr>
            <sz val="9"/>
            <color indexed="81"/>
            <rFont val="Tahoma"/>
            <family val="2"/>
          </rPr>
          <t xml:space="preserve">
Recalculer la masse salariale en prenant en compte la rémunération des techniciens de labo
</t>
        </r>
      </text>
    </comment>
    <comment ref="D10" authorId="0" shapeId="0">
      <text>
        <r>
          <rPr>
            <b/>
            <sz val="9"/>
            <color indexed="81"/>
            <rFont val="Tahoma"/>
            <family val="2"/>
          </rPr>
          <t>CERSA:</t>
        </r>
        <r>
          <rPr>
            <sz val="9"/>
            <color indexed="81"/>
            <rFont val="Tahoma"/>
            <family val="2"/>
          </rPr>
          <t xml:space="preserve">
Revoir la quantité et calcul du montant</t>
        </r>
      </text>
    </comment>
    <comment ref="D11" authorId="0" shapeId="0">
      <text>
        <r>
          <rPr>
            <b/>
            <sz val="9"/>
            <color indexed="81"/>
            <rFont val="Tahoma"/>
            <family val="2"/>
          </rPr>
          <t>CERSA:</t>
        </r>
        <r>
          <rPr>
            <sz val="9"/>
            <color indexed="81"/>
            <rFont val="Tahoma"/>
            <family val="2"/>
          </rPr>
          <t xml:space="preserve">
Rupture du contrat d'abonnement et prise en compte </t>
        </r>
      </text>
    </comment>
    <comment ref="C21" authorId="0" shapeId="0">
      <text>
        <r>
          <rPr>
            <b/>
            <sz val="9"/>
            <color indexed="81"/>
            <rFont val="Tahoma"/>
            <family val="2"/>
          </rPr>
          <t>CERSA:</t>
        </r>
        <r>
          <rPr>
            <sz val="9"/>
            <color indexed="81"/>
            <rFont val="Tahoma"/>
            <family val="2"/>
          </rPr>
          <t xml:space="preserve">
Reconduction du montant </t>
        </r>
      </text>
    </comment>
  </commentList>
</comments>
</file>

<file path=xl/comments3.xml><?xml version="1.0" encoding="utf-8"?>
<comments xmlns="http://schemas.openxmlformats.org/spreadsheetml/2006/main">
  <authors>
    <author>CERSA</author>
  </authors>
  <commentList>
    <comment ref="C6" authorId="0" shapeId="0">
      <text>
        <r>
          <rPr>
            <b/>
            <sz val="9"/>
            <color indexed="81"/>
            <rFont val="Tahoma"/>
            <family val="2"/>
          </rPr>
          <t>CERSA:</t>
        </r>
        <r>
          <rPr>
            <sz val="9"/>
            <color indexed="81"/>
            <rFont val="Tahoma"/>
            <family val="2"/>
          </rPr>
          <t xml:space="preserve">
Revoir le montant en considérant les indemnites de membres de jury</t>
        </r>
      </text>
    </comment>
  </commentList>
</comments>
</file>

<file path=xl/comments4.xml><?xml version="1.0" encoding="utf-8"?>
<comments xmlns="http://schemas.openxmlformats.org/spreadsheetml/2006/main">
  <authors>
    <author>CERSA</author>
  </authors>
  <commentList>
    <comment ref="B5" authorId="0" shapeId="0">
      <text>
        <r>
          <rPr>
            <b/>
            <sz val="9"/>
            <color indexed="81"/>
            <rFont val="Tahoma"/>
            <family val="2"/>
          </rPr>
          <t>CERSA:</t>
        </r>
        <r>
          <rPr>
            <sz val="9"/>
            <color indexed="81"/>
            <rFont val="Tahoma"/>
            <family val="2"/>
          </rPr>
          <t xml:space="preserve">
- Mission de réciclage et de fprrmation sur l'utilisation des équipements de laboratoire (Séquenseur de gènes, HPLC, GCMS)
- Séminaire sur la rédaction scientifique)</t>
        </r>
      </text>
    </comment>
    <comment ref="I6" authorId="0" shapeId="0">
      <text>
        <r>
          <rPr>
            <b/>
            <sz val="9"/>
            <color indexed="81"/>
            <rFont val="Tahoma"/>
            <family val="2"/>
          </rPr>
          <t>CERSA:</t>
        </r>
        <r>
          <rPr>
            <sz val="9"/>
            <color indexed="81"/>
            <rFont val="Tahoma"/>
            <family val="2"/>
          </rPr>
          <t xml:space="preserve">
Frais d'inscription, allocations mensuelles, hebergements&amp; divers, prime assurance maladie</t>
        </r>
      </text>
    </comment>
    <comment ref="I7" authorId="0" shapeId="0">
      <text>
        <r>
          <rPr>
            <b/>
            <sz val="9"/>
            <color indexed="81"/>
            <rFont val="Tahoma"/>
            <family val="2"/>
          </rPr>
          <t>CERSA:</t>
        </r>
        <r>
          <rPr>
            <sz val="9"/>
            <color indexed="81"/>
            <rFont val="Tahoma"/>
            <family val="2"/>
          </rPr>
          <t xml:space="preserve">
Frais d'inscription, allocations mensuelles, hebergements&amp; divers, prime assurance maladie</t>
        </r>
      </text>
    </comment>
  </commentList>
</comments>
</file>

<file path=xl/comments5.xml><?xml version="1.0" encoding="utf-8"?>
<comments xmlns="http://schemas.openxmlformats.org/spreadsheetml/2006/main">
  <authors>
    <author>CERSA</author>
  </authors>
  <commentList>
    <comment ref="J5" authorId="0" shapeId="0">
      <text>
        <r>
          <rPr>
            <b/>
            <sz val="9"/>
            <color indexed="81"/>
            <rFont val="Tahoma"/>
            <family val="2"/>
          </rPr>
          <t>CERSA:</t>
        </r>
        <r>
          <rPr>
            <sz val="9"/>
            <color indexed="81"/>
            <rFont val="Tahoma"/>
            <family val="2"/>
          </rPr>
          <t xml:space="preserve">
Prise en charge des formateurs (indemnités, voyage, reproduction des kits de formation)</t>
        </r>
      </text>
    </comment>
  </commentList>
</comments>
</file>

<file path=xl/comments6.xml><?xml version="1.0" encoding="utf-8"?>
<comments xmlns="http://schemas.openxmlformats.org/spreadsheetml/2006/main">
  <authors>
    <author>CERSA</author>
  </authors>
  <commentList>
    <comment ref="I7" authorId="0" shapeId="0">
      <text>
        <r>
          <rPr>
            <b/>
            <sz val="9"/>
            <color indexed="81"/>
            <rFont val="Tahoma"/>
            <family val="2"/>
          </rPr>
          <t>CERSA:</t>
        </r>
        <r>
          <rPr>
            <sz val="9"/>
            <color indexed="81"/>
            <rFont val="Tahoma"/>
            <family val="2"/>
          </rPr>
          <t xml:space="preserve">
Al</t>
        </r>
      </text>
    </comment>
    <comment ref="I8" authorId="0" shapeId="0">
      <text>
        <r>
          <rPr>
            <b/>
            <sz val="9"/>
            <color indexed="81"/>
            <rFont val="Tahoma"/>
            <family val="2"/>
          </rPr>
          <t>CERSA:</t>
        </r>
        <r>
          <rPr>
            <sz val="9"/>
            <color indexed="81"/>
            <rFont val="Tahoma"/>
            <family val="2"/>
          </rPr>
          <t xml:space="preserve">
</t>
        </r>
      </text>
    </comment>
  </commentList>
</comments>
</file>

<file path=xl/comments7.xml><?xml version="1.0" encoding="utf-8"?>
<comments xmlns="http://schemas.openxmlformats.org/spreadsheetml/2006/main">
  <authors>
    <author>CERSA</author>
  </authors>
  <commentList>
    <comment ref="C5" authorId="0" shapeId="0">
      <text>
        <r>
          <rPr>
            <b/>
            <sz val="9"/>
            <color indexed="81"/>
            <rFont val="Tahoma"/>
            <family val="2"/>
          </rPr>
          <t>CERSA:</t>
        </r>
        <r>
          <rPr>
            <sz val="9"/>
            <color indexed="81"/>
            <rFont val="Tahoma"/>
            <family val="2"/>
          </rPr>
          <t xml:space="preserve">
Conception et test de l'équipement le mieux adapté pour le fumage des poulets</t>
        </r>
      </text>
    </comment>
  </commentList>
</comments>
</file>

<file path=xl/comments8.xml><?xml version="1.0" encoding="utf-8"?>
<comments xmlns="http://schemas.openxmlformats.org/spreadsheetml/2006/main">
  <authors>
    <author>CERSA</author>
  </authors>
  <commentList>
    <comment ref="C7" authorId="0" shapeId="0">
      <text>
        <r>
          <rPr>
            <b/>
            <sz val="9"/>
            <color indexed="81"/>
            <rFont val="Tahoma"/>
            <family val="2"/>
          </rPr>
          <t>CERSA:</t>
        </r>
        <r>
          <rPr>
            <sz val="9"/>
            <color indexed="81"/>
            <rFont val="Tahoma"/>
            <family val="2"/>
          </rPr>
          <t xml:space="preserve">
A combiner avec l'evaluation des rations alimentaires sur la performances des vola
illes</t>
        </r>
      </text>
    </comment>
  </commentList>
</comments>
</file>

<file path=xl/comments9.xml><?xml version="1.0" encoding="utf-8"?>
<comments xmlns="http://schemas.openxmlformats.org/spreadsheetml/2006/main">
  <authors>
    <author>CERSA</author>
  </authors>
  <commentList>
    <comment ref="J6" authorId="0" shapeId="0">
      <text>
        <r>
          <rPr>
            <b/>
            <sz val="9"/>
            <color indexed="81"/>
            <rFont val="Tahoma"/>
            <family val="2"/>
          </rPr>
          <t>CERSA:</t>
        </r>
        <r>
          <rPr>
            <sz val="9"/>
            <color indexed="81"/>
            <rFont val="Tahoma"/>
            <family val="2"/>
          </rPr>
          <t xml:space="preserve">
Retenue de garantie CIDAPE 10%</t>
        </r>
      </text>
    </comment>
    <comment ref="J7" authorId="0" shapeId="0">
      <text>
        <r>
          <rPr>
            <b/>
            <sz val="9"/>
            <color indexed="81"/>
            <rFont val="Tahoma"/>
            <family val="2"/>
          </rPr>
          <t>CERSA:</t>
        </r>
        <r>
          <rPr>
            <sz val="9"/>
            <color indexed="81"/>
            <rFont val="Tahoma"/>
            <family val="2"/>
          </rPr>
          <t xml:space="preserve">
Retenue de garantie ESPACE BTP</t>
        </r>
      </text>
    </comment>
    <comment ref="J8" authorId="0" shapeId="0">
      <text>
        <r>
          <rPr>
            <b/>
            <sz val="9"/>
            <color indexed="81"/>
            <rFont val="Tahoma"/>
            <family val="2"/>
          </rPr>
          <t>CERSA:</t>
        </r>
        <r>
          <rPr>
            <sz val="9"/>
            <color indexed="81"/>
            <rFont val="Tahoma"/>
            <family val="2"/>
          </rPr>
          <t xml:space="preserve">
Montant du contrat</t>
        </r>
      </text>
    </comment>
    <comment ref="J9" authorId="0" shapeId="0">
      <text>
        <r>
          <rPr>
            <b/>
            <sz val="9"/>
            <color indexed="81"/>
            <rFont val="Tahoma"/>
            <family val="2"/>
          </rPr>
          <t>CERSA:</t>
        </r>
        <r>
          <rPr>
            <sz val="9"/>
            <color indexed="81"/>
            <rFont val="Tahoma"/>
            <family val="2"/>
          </rPr>
          <t xml:space="preserve">
Solde contrat gecoser et montant du marché AFRIK CONSULT TELECOM</t>
        </r>
      </text>
    </comment>
  </commentList>
</comments>
</file>

<file path=xl/sharedStrings.xml><?xml version="1.0" encoding="utf-8"?>
<sst xmlns="http://schemas.openxmlformats.org/spreadsheetml/2006/main" count="1647" uniqueCount="529">
  <si>
    <t>RECAPITULATIF PTBA 2022</t>
  </si>
  <si>
    <t>COMPOSANTE</t>
  </si>
  <si>
    <t>BUDGET 2022 (USD)</t>
  </si>
  <si>
    <t>BUDGET 2022 (XOF)</t>
  </si>
  <si>
    <t>GOUVERNANCE ET FONCTIONNEMENT</t>
  </si>
  <si>
    <t>EXCELLENCE DANS L'ENSEIGNEMENT ET LA FORMATION</t>
  </si>
  <si>
    <t>EXCELLENCE DANS LA RECHERCHE</t>
  </si>
  <si>
    <t>IMPACT DE DEVELOPPEMENT</t>
  </si>
  <si>
    <t>RENFORCEMENT DE L4ENVIRONNEMENT PEDAGIGIQUE ET DE RECHERCHE</t>
  </si>
  <si>
    <t>TOTAL</t>
  </si>
  <si>
    <t>Nom du centre</t>
  </si>
  <si>
    <t>CENTRE D'EXCELLENCE REGIONAL SUR LES SCIENCES AVIAIRES</t>
  </si>
  <si>
    <t>Institution</t>
  </si>
  <si>
    <t>UNIVERSITE DE LOME</t>
  </si>
  <si>
    <t>Dans les délais prévus</t>
  </si>
  <si>
    <t>Pays</t>
  </si>
  <si>
    <t>TOGO</t>
  </si>
  <si>
    <t>Leader du centre</t>
  </si>
  <si>
    <t>Prof. TONA Kokou</t>
  </si>
  <si>
    <t>En retard sur le programme</t>
  </si>
  <si>
    <t>Plan de travail annuel (mois-mois XXX, année)</t>
  </si>
  <si>
    <t>01/01-12/31-2022</t>
  </si>
  <si>
    <t>Activités du plan de travail</t>
  </si>
  <si>
    <t>Description</t>
  </si>
  <si>
    <t xml:space="preserve">Contribution des partenaires (le cas échéant)
</t>
  </si>
  <si>
    <t>2022 Y2Q1</t>
  </si>
  <si>
    <t>2022 Y2Q2</t>
  </si>
  <si>
    <t>2022 Y2Q3</t>
  </si>
  <si>
    <t>2022 Y2Q4</t>
  </si>
  <si>
    <t xml:space="preserve">Etapes / Résultats
</t>
  </si>
  <si>
    <t xml:space="preserve">Si NOUVEAU, fournir une justification
</t>
  </si>
  <si>
    <t>Budget estimé ($)</t>
  </si>
  <si>
    <t>Estimation des recettes ($)</t>
  </si>
  <si>
    <t>Contribution du partenaire ($)</t>
  </si>
  <si>
    <t>Responsable</t>
  </si>
  <si>
    <t>Jan</t>
  </si>
  <si>
    <t>Feb</t>
  </si>
  <si>
    <t>Mar</t>
  </si>
  <si>
    <t>Avr</t>
  </si>
  <si>
    <t>Mai</t>
  </si>
  <si>
    <t>Jui</t>
  </si>
  <si>
    <t>Jul</t>
  </si>
  <si>
    <t>Aout</t>
  </si>
  <si>
    <t>Sep</t>
  </si>
  <si>
    <t>Oct</t>
  </si>
  <si>
    <t>Nov</t>
  </si>
  <si>
    <t>Dec</t>
  </si>
  <si>
    <t>Action 1: GOUVERNANCE ET FONCTIONNEMENT \Action du DLI6</t>
  </si>
  <si>
    <t>Activité</t>
  </si>
  <si>
    <t>Sous-action 1a: Fonctionnement de l'Administration\</t>
  </si>
  <si>
    <t>Insertion et publication</t>
  </si>
  <si>
    <t>Publier dans le quotidien national et autres  des avis à manifestation d'intérêt, des appels d'offres, des appels à candidature pour les formations  dans le quotidien national et autres</t>
  </si>
  <si>
    <t>X</t>
  </si>
  <si>
    <t xml:space="preserve">Avis publiés conformément aux procédures
Transparence assurée </t>
  </si>
  <si>
    <t xml:space="preserve">Unité de Coordination </t>
  </si>
  <si>
    <t>Réunions semestrielles du Comité de pilotage  CERSA</t>
  </si>
  <si>
    <t>Evaluer périodiquement le niveau d'exécution des activités</t>
  </si>
  <si>
    <t>Plan d'actions approuvé et suivi</t>
  </si>
  <si>
    <t>Rémunérations du personnel technique recruté</t>
  </si>
  <si>
    <t>Rémunérer le personnel contractuel (Spécialistes en gestion financière, en passation des marchés, en communication , post docs et techniciens de laboratoire)</t>
  </si>
  <si>
    <t>Personnel contractuel rémunéré</t>
  </si>
  <si>
    <t>Réunions périodiques de l'administration</t>
  </si>
  <si>
    <t>Faire les points de la feuille de route  périodique</t>
  </si>
  <si>
    <t xml:space="preserve">4 réunions organisées par mois </t>
  </si>
  <si>
    <t>Communication pour la promotion du CERSA</t>
  </si>
  <si>
    <t>Promouvoir le CERSA dans la sous région(visite de chancellerie des universités, média, web etc)</t>
  </si>
  <si>
    <t>Visites de chancellerie des universités d'au moins deux pays de la sous-region dont les étudiants ne sont pas inscrits au CERSA</t>
  </si>
  <si>
    <t xml:space="preserve">Equipement de l'administration en matériel informatique et de bureau </t>
  </si>
  <si>
    <t>Renforcer le parc informatique du centre (achat de trois imprimantes, un copieur,  seize ordinateurs portables et serveur)</t>
  </si>
  <si>
    <t>achat de trois (03) imprimantes, un(01) copieur,  seize (16) ordinateurs portables et (01) serveur</t>
  </si>
  <si>
    <t>Abonnement internet</t>
  </si>
  <si>
    <t>Renouveler l'abonnement internet et renforcer la connexion</t>
  </si>
  <si>
    <t xml:space="preserve">connexion internet pour au moins 20 personnes </t>
  </si>
  <si>
    <t xml:space="preserve">Maintenance des équipements informatiques et renouvellement anti-virus </t>
  </si>
  <si>
    <t>Entretenir périodiquement  le pack matériel informatique</t>
  </si>
  <si>
    <t>Maintenance préventive et/ou curative de 30 ordinateurs, 6 imprimantes, 2 photocopieurs et 2 scanners</t>
  </si>
  <si>
    <t xml:space="preserve">Renforcement de capacités  du personnel administratif et de l'UL sur les procédures de la Banque mondiale </t>
  </si>
  <si>
    <t>Renforcer la capacité du personnel technique contractuel et de l'UL  en gestion de projet, suivi-évaluation, passation des marchés, en communication et en gestion financière)</t>
  </si>
  <si>
    <t>Directeur et directeur-adjoint formés en gestion de projets</t>
  </si>
  <si>
    <t>Maintenance et animation du site web du CERSA</t>
  </si>
  <si>
    <t>Améliorer les statistiques de visite sur  le site web www.cersa-togo.org</t>
  </si>
  <si>
    <t>Rapports d'audit interne, externe et de gestion publiés, statistiques de visite du site web améliorées</t>
  </si>
  <si>
    <t>Abonnement aux journaux (presses nationales)</t>
  </si>
  <si>
    <t>s'abonner aux journaux nationaux et internationaux</t>
  </si>
  <si>
    <t>Presses disponibles</t>
  </si>
  <si>
    <t xml:space="preserve">Fonctionnement du matériel roulant </t>
  </si>
  <si>
    <t>Faciliter  le déplacement administratif au personnel administratif et technique du centre</t>
  </si>
  <si>
    <t>Matériel roulant assuré, et opérationnel</t>
  </si>
  <si>
    <t xml:space="preserve">Achat de crédits communication </t>
  </si>
  <si>
    <t>Faciliter la communication entre les membres de l'équipe technique</t>
  </si>
  <si>
    <t>Communication entre personnel assurée</t>
  </si>
  <si>
    <t>Organisation des missions  (voyage et séjour)</t>
  </si>
  <si>
    <t>Prendre en charge le personnel en mission (achat de billet, indemnités de mission, Test PCR )</t>
  </si>
  <si>
    <t xml:space="preserve">Déplacement et séjour pris en charge </t>
  </si>
  <si>
    <t>Acquisition de fournitures de bureau et consommable informatique</t>
  </si>
  <si>
    <t>Disposer de consommable de bureau et informatique</t>
  </si>
  <si>
    <t>Fournitures de bureau disponible</t>
  </si>
  <si>
    <t>Entretien des infrastructures du CERSA</t>
  </si>
  <si>
    <t>Assurer la propreté des bureaux et laboratoires du centre</t>
  </si>
  <si>
    <t>Hygiène et propreté garanties aux bureaux, labo et salle de classe</t>
  </si>
  <si>
    <t>Souscription de police d'assurance du personnel</t>
  </si>
  <si>
    <t>Assurer santé et la sécurité du  personnel auprès des compagnies d'assurance</t>
  </si>
  <si>
    <t>Santé et sécurité assurée pour le personnel contractuel</t>
  </si>
  <si>
    <t xml:space="preserve">Règlement des frais bancaires </t>
  </si>
  <si>
    <t>Assurer les charges financières relatives à la gestion du compte bancaire et différentes transactions financières</t>
  </si>
  <si>
    <t>Frais bancaires acquittés</t>
  </si>
  <si>
    <t>Sous-Action 1b: Suivi-évaluation  de la performance fiduciaire</t>
  </si>
  <si>
    <t>Suivi-évaluation de la gestion fiduciaire</t>
  </si>
  <si>
    <t>Organiser les audits internes et externes du centre</t>
  </si>
  <si>
    <t>3 rapports d'audit interne et 1 rapport d'audit externe de la gestion financière et de la passation des marchés</t>
  </si>
  <si>
    <t>Directeur/SGF/SPM</t>
  </si>
  <si>
    <t>Mise à jour du logiciel de gestion financière</t>
  </si>
  <si>
    <t>Acquérir une licence du  logiciel Tom²pro doté de caractéristiques multiprojets, multidonateurs et multisites</t>
  </si>
  <si>
    <t>Logiciel Tom²pro multiprojets, mulisites et multidonateurs opérationalisé</t>
  </si>
  <si>
    <t>Sous-Action 1c: Suivi et contrôle des activités de recherche</t>
  </si>
  <si>
    <t>Evaluation et approbation des projets des différentes thématiques de recherche</t>
  </si>
  <si>
    <t>Valider de nouvelles thématiques de recherches</t>
  </si>
  <si>
    <t>Nouvelles thématiques approuvées</t>
  </si>
  <si>
    <t>DA/Chef service recherche et developpement</t>
  </si>
  <si>
    <t>Soutien et coordination de la production  scientifique</t>
  </si>
  <si>
    <t xml:space="preserve">Frais de publication des articles scientifiques </t>
  </si>
  <si>
    <t>Frais de publication et édition d'article scientifique pris en charge par le centre</t>
  </si>
  <si>
    <t>Sous-Action 1d: Suivi semestriel des activités d'enseignement et de formation</t>
  </si>
  <si>
    <t>Coordination de la formation</t>
  </si>
  <si>
    <t xml:space="preserve"> Organisation des enseignements, journée d'intégration, recherche et supervision des stages</t>
  </si>
  <si>
    <t>Supervision de stage et co-supervision des expérimenations</t>
  </si>
  <si>
    <t>Stages et expérimentations supervisés</t>
  </si>
  <si>
    <t>Directeur Adjoint/Chef service formation</t>
  </si>
  <si>
    <t>Action 2: EXCELLENCE DANS L'ENSEIGNEMENT ET LA FORMATION\Action du DLI 3-4</t>
  </si>
  <si>
    <t>Sous-Action 2a: Developpement de programme de formation</t>
  </si>
  <si>
    <t>Développement d'une formation certifiante en chaine de valeur avicole</t>
  </si>
  <si>
    <t>Développer un curricula de 60 crédits prenant en compte tous les maillons de la filière avicole</t>
  </si>
  <si>
    <t>Appui technique et conseil</t>
  </si>
  <si>
    <t>Curricula développés</t>
  </si>
  <si>
    <t>DA/Chef service formation/Commission ad hoc</t>
  </si>
  <si>
    <t>Développement d'un programme de formation de courte durée en marketing des produits avicoles</t>
  </si>
  <si>
    <t>Développer un curricula de la formation de courte durée en marketing des produits avicoles (conservation,conditionnement, e-commerce, distribution)
 cibles:  femmes  engagées dans la  commercialisation des produits avicoles</t>
  </si>
  <si>
    <t>Alimentation et nutrition animale</t>
  </si>
  <si>
    <t>Développer un curricula de master l'alimentation et la nutrition animale en vue de renforcer le maillon faible du sous secteur d'élevage représentatnt 50  à 70% des coûts de production.
 Etudiants</t>
  </si>
  <si>
    <t>Bio-éthique et bien-être des animaux domestiques</t>
  </si>
  <si>
    <t>Développer un curricula de master sur la bio-éthique et le bien être des animaux domestiques en vue du respect du droit des animaux.
 Cibles : étudiants</t>
  </si>
  <si>
    <t>Curricula de master sur la bio-éthique disponibles</t>
  </si>
  <si>
    <t>Sous-Action 2b: Formation des étudiants en Master et Doctorat</t>
  </si>
  <si>
    <t>Mission d'enseignement et de recherche</t>
  </si>
  <si>
    <t xml:space="preserve">Impliquer les partenaires pour  une formation de qualité </t>
  </si>
  <si>
    <t>Mission d'enseignement et appui à la recherche</t>
  </si>
  <si>
    <t>Au moins sept cours et 03  séminiaires thématiques assurés par les partenaires académiques</t>
  </si>
  <si>
    <t>Allocations d'études aux étudiants sélectionnés en master</t>
  </si>
  <si>
    <t>Mettre des étudiants régionaux  dans de conditions d'études acceptables (Inscription, hebergement et allocations de subsistance)</t>
  </si>
  <si>
    <t>Sélection de 40 nouveaux étudiants en master
25 étudiants en fin de formation</t>
  </si>
  <si>
    <t>Directeur/DA/Chef service formation/ SGF</t>
  </si>
  <si>
    <t>Allocations d'études aux étudiants sélectionnés aux doctorants</t>
  </si>
  <si>
    <t>Mettre des étudiants régionaux  dans de conditions d'études acceptables (inscription, hebergement et allocations de subsistance )</t>
  </si>
  <si>
    <t>Sélection de 10 nouveaux étudiants en master
20 étudiants en fin de formation</t>
  </si>
  <si>
    <t>Sous-Action 2c: Formation modulaire et de courte durée</t>
  </si>
  <si>
    <t>Formations modulaires spécialisées pour les professionnels différents acteurs de la filière</t>
  </si>
  <si>
    <t>Renforcément des capacités des aviculteurs pour implémentation des résultats des recherches( procédés de transformation, alimentation des volailles, production de poussins d'un jour,</t>
  </si>
  <si>
    <t>Appui à l'identification des besoins de formation en aviculture et selections des apprenants</t>
  </si>
  <si>
    <t xml:space="preserve">- au moins deux(02) formations de courte durée sur la production et utilisation des asticots dans l'alimentation des volailles au Togo
- au moins deux(02) formations en aviculture au Togo et trois(03) formations dans la sous region (Niger, Gabon, Ghana) </t>
  </si>
  <si>
    <t>Directeur/DA/Chef service formation</t>
  </si>
  <si>
    <t>Action 3: EXCELLENCE DANS LA RECHERCHE\Action du DLI 5</t>
  </si>
  <si>
    <t>Sous-Action 3a: Techniques innovantes de productions avicoles</t>
  </si>
  <si>
    <t>Détermination des normes d'élevage des volailles en zones tropicales</t>
  </si>
  <si>
    <t>Disposer des données sur les différentes populations des pintades  dans la région, Caractérisation des techniques de production avicole</t>
  </si>
  <si>
    <t xml:space="preserve">Appui à la recherche
Transfert de connaissance
Participation aux jurys </t>
  </si>
  <si>
    <t>Un programme de la mue artificielle des reproducteurs de poule élaboré
Une publication scientifique
Un mémoire de master finalisé  
Paramètres morpho-biométrique et moléculaire des populations locales de pintades caractérisés
Une thèse de doctorat finalisée
Une publication scientifique</t>
  </si>
  <si>
    <t>Chef service recherche et développement/Directeur de parcours/Etudiants</t>
  </si>
  <si>
    <t>Etude des déterminants de la qualité des poussins/dindonneaux/pintadeaux/canetons d'un jour</t>
  </si>
  <si>
    <t xml:space="preserve">Etudier la performance et les paramètres physiologiques en fonction des conditions environnementales </t>
  </si>
  <si>
    <t xml:space="preserve">Effets des facteurs d'incubation des œufs de volailles sur la qualité des progénitures
trois(03) mémoires de master finalisés et
cinq (05) thèses entamées,trois (03) thèses finalisées </t>
  </si>
  <si>
    <t>Développement de techniques de diagnostic, contrôle et traitements des maladies des volailles</t>
  </si>
  <si>
    <t>Meilleure connaissance des symptômes et lésions, diagnostic expérimental, utilisations des plantes médicinales, stratégie de contrôle</t>
  </si>
  <si>
    <t>Efficaité des plantes à propriétés prébiotiques déterminée
Deux publications scientifiques
Une thèse de doctorat finalisée
Un mémoire de master finalisé
Sous-produits agroindutriels à propriétés pré/probiotiques identifiés</t>
  </si>
  <si>
    <t>Amélioration génétique des volailles</t>
  </si>
  <si>
    <t>Biodiversité et protection de l'espèce en voie de disparition, amélioration de la poule locale, caractérisation moléculaire des volailles, effet des croissement des différents génotypes des poules</t>
  </si>
  <si>
    <t>Noyaux de parentaux de trois races de poules et d'une race de pintades mis en place
3 Mémoires de master finalisés</t>
  </si>
  <si>
    <t>Evaluation multicritères de l'acclimatation des poulets</t>
  </si>
  <si>
    <t>Acclimatation des poulets au froid ou au chaleur au cours de l'embryogénèse et post eclosion</t>
  </si>
  <si>
    <t>trois(03) memoires de master finalisés
une(01) publication</t>
  </si>
  <si>
    <t>Sous-action 3b: Post-récolte des produits avicoles- transformation</t>
  </si>
  <si>
    <t>Développement de technologies innovantes de transformation et de conservation des produits avicoles (biscuits, saucisses et mayonnaises label CERSA)</t>
  </si>
  <si>
    <t>Développer des technologies innovantes pour améliorer la sécurité alimentaire</t>
  </si>
  <si>
    <t>diagnostic du système de fumage de poulet et caractéistiques des poulets fumés détermiés
Une thèse de doctorat finalisée
Une publication scientifique</t>
  </si>
  <si>
    <t>Inventaire des méthodes de transformation et de conservation des produits de volailles(Valorisation  des sous produits de volailles)</t>
  </si>
  <si>
    <t>Deux(02) mémoires de master
-Trois (03) thèses en cours
-Au moins deux (02) publications</t>
  </si>
  <si>
    <t>Directeur/SPM/SGF</t>
  </si>
  <si>
    <t>Sous-Action 3c: Alimentation et nutrition animale</t>
  </si>
  <si>
    <t>Impact de l'alimentation des volailles sur leurs performances</t>
  </si>
  <si>
    <t>Etudier le système d'alimentation séquentielle des volailles en climat chaud et humide</t>
  </si>
  <si>
    <t>Programme d'alimentation séquentielle des poulets de chair élaboré
Au moins deux (02) publications scientifiques
Au moins trois (03) thèses de doctorat finaliséés
Au moins trois(03) mémoires de master finalisés</t>
  </si>
  <si>
    <t>Chef service recherche et développement/Directeur de thèse et mémoire/Etudiants</t>
  </si>
  <si>
    <t>Identification de sources de protéines alternatives pour l'alimentation des volailles</t>
  </si>
  <si>
    <t>Etudier l'effet de substitution de la farine de poisson par la farine d'asticotsde mouches soldates sur la performance zootechniques des volailles</t>
  </si>
  <si>
    <t>Effets de l'incorporation de la farine d'asticots de mouche soldate sur les performances de production d'œufs de table déterminés
Deux memoires de master finalisés</t>
  </si>
  <si>
    <t>Valorisation des ingrédients alimentaires non conventionnels</t>
  </si>
  <si>
    <t>Etudier le profil chimique de l'huile de palme et ses effets sur les paramètres physiologiques et de production des poules pondeuses de souche ISA BROWN</t>
  </si>
  <si>
    <t>Effet des ressources alimentaires locales non conventionnelles sur les performances déterminés
Une thèse finalisée
Un mémoire de master finalisé
Une publication scientifique</t>
  </si>
  <si>
    <t>Evaluation des rations alimentaires sur les performances des volailles</t>
  </si>
  <si>
    <t>Etablir les normes nutritionnelles pour des écotypes de volailles de race locale</t>
  </si>
  <si>
    <t>Au moins trois (03) thèses entamées
Au moins trois(03) articles scientifiques 
Au moins six (06) mémoires de master finaliés</t>
  </si>
  <si>
    <t>Approvisionnement en ingrédients pour la production d'aliments de volailles</t>
  </si>
  <si>
    <t>Production de provende pour alimentation des sujets dans le cadre de la conduite des expérimentations</t>
  </si>
  <si>
    <t>Ingrédients pour la production des aliments approvisionnés</t>
  </si>
  <si>
    <t>Sous-Action 3d: Analyse socio-économique de la filière avicole</t>
  </si>
  <si>
    <t>Effet de la formation modulaire sur la performance des exploitations avicoles</t>
  </si>
  <si>
    <t xml:space="preserve"> optimisation des facteurs de production ; accompagner la politique de développement de la filière disponible ; </t>
  </si>
  <si>
    <t>Un mémoire de master</t>
  </si>
  <si>
    <t xml:space="preserve"> Analyse de l'effet du changement climatique sur la filière avicole</t>
  </si>
  <si>
    <t>Amélioration des capacités technique et organisationnelle et de management de la filière</t>
  </si>
  <si>
    <t>trois (03)  mémoires de master et une thèse de doctorat, au moins trois(03) articles</t>
  </si>
  <si>
    <t>Efficacité de la commercialisation et marchés des produits avicoles</t>
  </si>
  <si>
    <t>Etudier l'impact des flux commerciaux des volailles et produits de volailles sur le revenu des ménages</t>
  </si>
  <si>
    <t>Deux mémoires  de master et deux (02) thèse et un article scientifique</t>
  </si>
  <si>
    <t>Cartographie de la filière avicole</t>
  </si>
  <si>
    <t>Etablir la géolocalisation des exploitations avicoles au Togo</t>
  </si>
  <si>
    <t>Une communication</t>
  </si>
  <si>
    <t>Effet de covid sur le dynamisme du secteur avicole</t>
  </si>
  <si>
    <t>Analyser l'effet de Covid 19 sur la production de poulets de chair et des œufs de table, Effet de Covid sur l'importation des produits de volailles et des équipements d'élevage de volailles</t>
  </si>
  <si>
    <t>Deux mémoires et deux articles scientifiques</t>
  </si>
  <si>
    <t>Impact de l'adoption des technologies et innovation sur la filière avicole</t>
  </si>
  <si>
    <t>Etudier l'impact des technologies et innovation sur la filière</t>
  </si>
  <si>
    <t>Trois (03) mémoire master et une (01) thèse de</t>
  </si>
  <si>
    <t>Analyse du financement de la filière avicole</t>
  </si>
  <si>
    <t>Analyser les sources de  financement sur le développement de la filière avicole</t>
  </si>
  <si>
    <t>Une(01) thèse</t>
  </si>
  <si>
    <t>Sous-Action 3e: Consommables et maintenances</t>
  </si>
  <si>
    <t>Consommables de laboratoires</t>
  </si>
  <si>
    <t>Réactifs, de milieu de culture et de boite de petri, pipettes, microplaque</t>
  </si>
  <si>
    <t>Consommables de laboratoire acquis</t>
  </si>
  <si>
    <t>Œufs à couver et poussins d'un jour</t>
  </si>
  <si>
    <t>Un dispositif d'approvisionnement en œufs à couver et poussins d'un jour mis en place.</t>
  </si>
  <si>
    <t>Œufs à couver et poussins d'un jour acquis</t>
  </si>
  <si>
    <t>Produits vétérinaires</t>
  </si>
  <si>
    <t>Un dispositif d'approvisionnement en produits vétérinaires mise en place.</t>
  </si>
  <si>
    <t>Produits vétérinaires acquis</t>
  </si>
  <si>
    <t>Fourniture et installation d'oxygène médical</t>
  </si>
  <si>
    <t>Opérationnaliser la bombe calorimétrique</t>
  </si>
  <si>
    <t>Oxygène médical disponible au laboratoire</t>
  </si>
  <si>
    <t xml:space="preserve">Maintenance des équipements et matériels de laboratoire </t>
  </si>
  <si>
    <t>Rapports de travaux de recherche;  mémoires de master et publications scientifiques</t>
  </si>
  <si>
    <t>Maintenace préventive des équipements de laboratoire est faite</t>
  </si>
  <si>
    <t>Abreuvoir et mangeoire</t>
  </si>
  <si>
    <t>Acquérir des abreuvoirs et mangeoires</t>
  </si>
  <si>
    <t>x</t>
  </si>
  <si>
    <t>Abreuvoir et mangeoir acquis</t>
  </si>
  <si>
    <t>Action 4: IMPACT DE DEVELOPPEMENT\Action du DLI 2-DLI4</t>
  </si>
  <si>
    <t>Sous-Action 4a: Mise en place d'une unité d'entrepreneuriat avicole de référence</t>
  </si>
  <si>
    <t>Unité d'entrepreneuriat avicole (Mise en place d'une unité d'entrepreneuriat avicole de référence)</t>
  </si>
  <si>
    <t>Offrir un cadre de travail au startup, incubateur</t>
  </si>
  <si>
    <t xml:space="preserve">Un comité de gestion est mis en place </t>
  </si>
  <si>
    <t>Appui aux initiatives entrepreneuriales des jeunes diplômés et aux programmes d'enseignements des fellows (assistantship)</t>
  </si>
  <si>
    <t>Soutenir les étudiants candidats à l'entrepreneuriat dans la filière avicole</t>
  </si>
  <si>
    <t xml:space="preserve">Un comité de gestion est mis en place 
Des critères de sélection des bénéfiaciaires sont édictés 
Un appel à projets est lancé </t>
  </si>
  <si>
    <t>Acquisition de matériel roulant (Pick up)</t>
  </si>
  <si>
    <t>Assurer la liaison entre l'unité entreprenariat et les unités expérimentales</t>
  </si>
  <si>
    <t>Déplacements des étudiants et enseignants entre les unités expérimentales et le laboratoire assurés</t>
  </si>
  <si>
    <t>Aménagement des poulaillers de la ferme AYODELE</t>
  </si>
  <si>
    <t>Réamener les poulaillers  pour la conduite des expérimentations des étudiants du CERSA</t>
  </si>
  <si>
    <t>Poulaillers mis à la disposition du CERSA  à la ferme AYODELE aménagés</t>
  </si>
  <si>
    <t>Renforcement du transfert de technologies</t>
  </si>
  <si>
    <t xml:space="preserve">Établir l’écosystème de l’innovation et de l’entrepreneuriat universitaire grâce au renforcement du Bureau de transfert de technologie
</t>
  </si>
  <si>
    <t>transfert de technologies renforcé</t>
  </si>
  <si>
    <t>Responsable partenariat/S&amp;E</t>
  </si>
  <si>
    <t>Développement de l'ecosystème institutionnel d'innovation et de l'entrepreneuriat</t>
  </si>
  <si>
    <t>Un programme d’innovation et d’entrepreneuriat développé et offert pour les étudiants et les membres du corps professoral de chaque centre(5,3M2.1).
Organisation d’une Semaine de l’innovation initiée par le Centre sur le campus de l’Université Mise en place d’un système de prix pour un prix « Innovateur de l’année » (5,3M2.2)
 Organisation trimestrielle d’ateliers, de conférences invitées, de webinaires sur le transfert et la commercialisation de technologies</t>
  </si>
  <si>
    <t>l'ecosystème institutionnel d'innovation et de l'entrepreneuriat développé</t>
  </si>
  <si>
    <t>Coopération axée sur l'innovation dans infrastructures de recherche et collaboration avec le secteur privé</t>
  </si>
  <si>
    <t xml:space="preserve"> Développer  (ou élargir l’accès à l’installation d’essai existante) disponible pour les entreprises régionales
 Etablir un bureau de conseil en développement des affaires, y compris la mise en place d’un programme de mentorat pour les start-ups et / ou les entrepreneurs(5.3M3.2)
Développer le concept d’un incubateur sectoriel (5.3)</t>
  </si>
  <si>
    <t>Coopération axée sur l'innovation mise en place pour l'utilisation des  infrastructures de recherche et collaboration avec le secteur privé</t>
  </si>
  <si>
    <t>Séminaire de renforcement de capacités manageriales des membres des organisations professionnels avicoles</t>
  </si>
  <si>
    <t>Renforcer les capacités des organisations professionneles dans l'élaboration des plans stratégiques, lobbing et gestion des membres</t>
  </si>
  <si>
    <t>Capacités manageriales des membres des organisations professionnels avicoles renforcées</t>
  </si>
  <si>
    <t>Sous-Action 4b: Fonctionnement de l'alumni</t>
  </si>
  <si>
    <t>Edition semestrielle d'un bulletin des alumni</t>
  </si>
  <si>
    <t>Informer les acteurs clés sur la vie et les activités du CERSA </t>
  </si>
  <si>
    <t xml:space="preserve">Les deux numéros annuels du bulletin sont édités </t>
  </si>
  <si>
    <t>Directeur/SCOM/SPM/SGF</t>
  </si>
  <si>
    <t>Evaluation périodique des acquis de la formation</t>
  </si>
  <si>
    <t xml:space="preserve">Actualiser les programmes de formation </t>
  </si>
  <si>
    <t>Statistiques sur l'employabilité des diplômés du centre disponible</t>
  </si>
  <si>
    <t>Sous-Action 4c: Adoption des technologies  par les acteurs de la filière</t>
  </si>
  <si>
    <t>Human/success stories</t>
  </si>
  <si>
    <t xml:space="preserve">Avoir des aviculteurs fils conducteurs pouvant servir d'exemples au plus grand nombre </t>
  </si>
  <si>
    <t>Deux human stories sont produits</t>
  </si>
  <si>
    <t>Production d'outils et gadgets de communication</t>
  </si>
  <si>
    <t>Production de flyers, T-shirts, dépliants, bloc notes ,panneaux indicatifs et enseignes etc</t>
  </si>
  <si>
    <t>Gadgets de communication disponibles</t>
  </si>
  <si>
    <t>Production de matériels de formation et de vulgarisation des technologies selectionnées</t>
  </si>
  <si>
    <t>Vulgariser les résultats de recherche et les acquis du CERSA auprès des professionnels de la filière avicole et du grand public </t>
  </si>
  <si>
    <t>Des fiches techniques sont élaborées  
Des photos d'illustration sont disponibles</t>
  </si>
  <si>
    <t>Chef service partenariat/Chef service suivi-évaluation/SCOM</t>
  </si>
  <si>
    <t>Sous-Action 4d: Riposte à la pandemie de COVID 19</t>
  </si>
  <si>
    <t>Production de masques de protection, gel hydroalcoolique et divers pour les étudiants, enseigants et personnel</t>
  </si>
  <si>
    <t>Mettre en œuvre les mesures barrières à la COVID 19 en mettant à disposition du personnel administratif, technique et académique du gel hydroalcoolique, des masques de protection, de savon pour les dispositifs de lavage de main</t>
  </si>
  <si>
    <t>Respect des mesures barrières</t>
  </si>
  <si>
    <t>Résilience à la pandemie de covid 19</t>
  </si>
  <si>
    <t>Action 5: RENFORCEMENT DE L'ENVIRONNEMENT PEDAGOGIQUE ET DE RECHERCHE\Action du DLI 4-5</t>
  </si>
  <si>
    <t>Sous-Action 5a: Renforcement des infrastructures et équipements</t>
  </si>
  <si>
    <t>Travaux d'aménagement de la voirie du laboratoire et unités expérimentales</t>
  </si>
  <si>
    <t>Contruire la voirie qui relie le bloc pédagogique et de recherche aux différentes unités expérimentales</t>
  </si>
  <si>
    <t>Réception définitive et solde-Voirie du laboratoire et unités expérimentales réalisée</t>
  </si>
  <si>
    <t>Aménagement et entretien des infrastructures  -Réalisation des travaux de toiture de protection de la dalle du bloc pédagogique et de recherche</t>
  </si>
  <si>
    <t>Assurer l'étanchéïté de la dalle du bloc pédagogique et de recherche par une toiture</t>
  </si>
  <si>
    <t>Reception définitive et solde -Toiture de protection de la dalle du bloc pédagogique et de recherche réalisée</t>
  </si>
  <si>
    <t>Entretien et maintenance du réseau électrique et de plomberie</t>
  </si>
  <si>
    <t>Assurer l'entretien et réparation périodique des sanitaires et panne électrique du bâtiment principal et des unités expérimentales</t>
  </si>
  <si>
    <t>Réseau électrique et plomberie du bâtiment principal et des unités expérimentales entretenu</t>
  </si>
  <si>
    <t>Petits travaux de réparation et réfection</t>
  </si>
  <si>
    <t>Assurer des pétits travaux de réparation et de réfection au niveau du bâtiment principal et les unités expérimentales</t>
  </si>
  <si>
    <t>Pétits travaux de réparation et réfection réalisés</t>
  </si>
  <si>
    <t xml:space="preserve">Sous-Action 5b: Mise à l'échelle des unités </t>
  </si>
  <si>
    <t>Travaux d'aménagement du couvoir</t>
  </si>
  <si>
    <t>Aménagement du couvoir du CERSA</t>
  </si>
  <si>
    <t>Réception définitive et solde -Couvoir du CERSA réhabilité</t>
  </si>
  <si>
    <t>Aménagement de la chambre froide</t>
  </si>
  <si>
    <t>Fourniture et installation des étagères</t>
  </si>
  <si>
    <t>Etagères installées</t>
  </si>
  <si>
    <t>Mise en place d'une salle de classe intelligente</t>
  </si>
  <si>
    <t>Créer un cadre d'apprentissage et de travail propice aux activités pédagogiques virtuelles (acquisition et installation des écrans intelligents, des tableaux blancs, des ordinateurs et accessoires nécessaires)</t>
  </si>
  <si>
    <t>Salle de classe intelligente opérationnelle</t>
  </si>
  <si>
    <t>Mise à l'échelle du mini-abattoir</t>
  </si>
  <si>
    <t xml:space="preserve"> équipements complémentaires et quelques travaux d'aménagement du local</t>
  </si>
  <si>
    <t>Abattoir du CERSA mis à l'echelle</t>
  </si>
  <si>
    <t>Mise en place d'une unité de demonstration du système "PATIO"</t>
  </si>
  <si>
    <t>Fourniture, installation et mise en service du système "Patio"</t>
  </si>
  <si>
    <t>Le système "Patio" mis en place</t>
  </si>
  <si>
    <t>USD</t>
  </si>
  <si>
    <t>XOF</t>
  </si>
  <si>
    <t>Composante</t>
  </si>
  <si>
    <t>Gouvernance et fonctionnement</t>
  </si>
  <si>
    <t>Excellence de l'enseignement et formation</t>
  </si>
  <si>
    <t>Excellence dans la recherche</t>
  </si>
  <si>
    <t>Impact de développement</t>
  </si>
  <si>
    <t>Infrastructures pédagogiques et de recherche</t>
  </si>
  <si>
    <t>Total</t>
  </si>
  <si>
    <t>Master</t>
  </si>
  <si>
    <t>INSCRIPTION</t>
  </si>
  <si>
    <t>ALLOCATIONS</t>
  </si>
  <si>
    <t>LOGEMENT</t>
  </si>
  <si>
    <t>UEMOA</t>
  </si>
  <si>
    <t>HORS UEMOA</t>
  </si>
  <si>
    <t>2020 (Togo)</t>
  </si>
  <si>
    <t>Doctorat</t>
  </si>
  <si>
    <t>Maintenance équipement labo</t>
  </si>
  <si>
    <t>Tonège Sarl</t>
  </si>
  <si>
    <t>Stea</t>
  </si>
  <si>
    <t>DMA Multiservices</t>
  </si>
  <si>
    <t>Scnell Anschluss</t>
  </si>
  <si>
    <t>Matériel informatique</t>
  </si>
  <si>
    <t>Imprimantes</t>
  </si>
  <si>
    <t>ordinateurs portables</t>
  </si>
  <si>
    <t>Crédit de communication</t>
  </si>
  <si>
    <t>Etranger</t>
  </si>
  <si>
    <t>Coordonnateur</t>
  </si>
  <si>
    <t>Missions</t>
  </si>
  <si>
    <t xml:space="preserve">Agent Comptable </t>
  </si>
  <si>
    <t>indemnités</t>
  </si>
  <si>
    <t>Spécialiste en Gestion Financière</t>
  </si>
  <si>
    <t>billet</t>
  </si>
  <si>
    <t>Spécialiste en Passation de marché</t>
  </si>
  <si>
    <t>Test PCR</t>
  </si>
  <si>
    <t>Spécialiste en Communication</t>
  </si>
  <si>
    <t>Secrétaire de Direction</t>
  </si>
  <si>
    <t>Secrétaire Administrateur Civil</t>
  </si>
  <si>
    <t>secretaire Accueil</t>
  </si>
  <si>
    <t>Mision d'enseignement</t>
  </si>
  <si>
    <t xml:space="preserve">Directeur Adjoint </t>
  </si>
  <si>
    <t>Chef Service suivi- évaluation et qualité</t>
  </si>
  <si>
    <t>Chef Service Recherche et Développement</t>
  </si>
  <si>
    <t>Chef Service Formation</t>
  </si>
  <si>
    <t>Chef Service Partenariat</t>
  </si>
  <si>
    <t>Chargé d’Unité Expérimentale</t>
  </si>
  <si>
    <t>Responsable du suivi du processus d’accréditation</t>
  </si>
  <si>
    <t>Responsable Parcours Biotechnologie et Génétique Avicole</t>
  </si>
  <si>
    <t xml:space="preserve">Responsable Parcours Biosécurité et Bio sureté </t>
  </si>
  <si>
    <t>Responsable Parcours Socio-économie et Marketing de la filière</t>
  </si>
  <si>
    <t>Responsable Parcours procédés de transformation et Sécurité sanitaire des produits avicoles</t>
  </si>
  <si>
    <t>Standard</t>
  </si>
  <si>
    <t>post doc</t>
  </si>
  <si>
    <t>BUDGET (dollars)</t>
  </si>
  <si>
    <t>SEUIL</t>
  </si>
  <si>
    <t xml:space="preserve">ECART </t>
  </si>
  <si>
    <t>1.A.</t>
  </si>
  <si>
    <t>Fonctionnement  de l’administration du CERSA</t>
  </si>
  <si>
    <t>1.B</t>
  </si>
  <si>
    <t>Suivi-évaluation trimestriel de performance financière</t>
  </si>
  <si>
    <t>1.C.</t>
  </si>
  <si>
    <t>Suivi et contrôle des activités de recherche</t>
  </si>
  <si>
    <t>1.D</t>
  </si>
  <si>
    <t>Suivi semestriel des activités d’enseignement et de formation</t>
  </si>
  <si>
    <t>Sous-action 1a: Fonctionnement de l'Administration</t>
  </si>
  <si>
    <t>ACTIVITES</t>
  </si>
  <si>
    <t>DESCRIPTIONS</t>
  </si>
  <si>
    <t>ETAPES/RESULTATS</t>
  </si>
  <si>
    <t>BUDGET 2021</t>
  </si>
  <si>
    <t>REALISATION 2021</t>
  </si>
  <si>
    <t xml:space="preserve">TAUX </t>
  </si>
  <si>
    <t>BUDGET 2022(USD)</t>
  </si>
  <si>
    <t>calcul</t>
  </si>
  <si>
    <t>TACHES</t>
  </si>
  <si>
    <t>RESPONSABLES</t>
  </si>
  <si>
    <t>Publier dans le quotidien national et autres  des avis à manifestation d'intérêt, des appels d'offres, des appels à candidatures pour les formations  dans le quotidien national et autres</t>
  </si>
  <si>
    <t>-10 Appels à candidature
-10 appels d'offres</t>
  </si>
  <si>
    <t>SGF/SCOM/SPM</t>
  </si>
  <si>
    <t>Rémunérer le personnel contractuel (Spécialistes en gestion financière, en passation des marchés, en communication, post docs et techniciens de laboratoire)</t>
  </si>
  <si>
    <t>Faire les points de la feuille de route périodique</t>
  </si>
  <si>
    <t>En moyenne 100 000  f cfa/mois</t>
  </si>
  <si>
    <t>Promouvoir le CERSA dans la sous-région(visite de chancellerie des universités, média, web, etc)</t>
  </si>
  <si>
    <t>Reconduction</t>
  </si>
  <si>
    <t>Renforcer le parc informatique du centre ()</t>
  </si>
  <si>
    <t>10 ordinateurs portables et 3 imprimantes et 1 photocopieur acquis</t>
  </si>
  <si>
    <t>achat de 10 Pc à 600 000 f cfa, 03 imprimantes et 1 copieur</t>
  </si>
  <si>
    <t>Connection à la fibre optique UL et  forfait mensuel</t>
  </si>
  <si>
    <t xml:space="preserve">- Atelier de formation sur Suivi-evaluation ou Gestion financière ou Passations des marchés
-Voyage de renforcément de capacités d'une personne </t>
  </si>
  <si>
    <t>Améliorer les statistiques de visite sur  le site web www.cersa-togo.org, élaboration de la bannière</t>
  </si>
  <si>
    <t>Rapports d'audit interne, externe et de gestion publiés, statistiques de visite du site web améliorées( refonte du site web et maintenance)</t>
  </si>
  <si>
    <t xml:space="preserve">-  refonte du site 450000f cfa
- maintenance </t>
  </si>
  <si>
    <t>Abonnement Togo presse</t>
  </si>
  <si>
    <t>Carburant, assurance et maintenance</t>
  </si>
  <si>
    <t>Communication entre membres du personnel assurée</t>
  </si>
  <si>
    <t>75%  du budget 2021</t>
  </si>
  <si>
    <t>Acquisition de fournitures de bureau et consommable de fourniture</t>
  </si>
  <si>
    <t>Hygiène et propreté garanties dans les bureaux, labos et salles de classe</t>
  </si>
  <si>
    <t>3750+F18</t>
  </si>
  <si>
    <t>BUDGET 2022</t>
  </si>
  <si>
    <t>Evaluation et approbation des projets des différentes axes(thématiques) de recherche</t>
  </si>
  <si>
    <t>- Organiser des ateliers de validation de nouvelles thématiques de recherche,
- point de thèse (validation et approbation des protocoles de recherche</t>
  </si>
  <si>
    <t>Frais de publication des articles scientifiques,soutenances, colloques , journal club</t>
  </si>
  <si>
    <t>Frais de publication et édition d'article scientifique pris en charge par le centre, colloques,</t>
  </si>
  <si>
    <t>budget2021*taux réalisation</t>
  </si>
  <si>
    <t>budget2021 *50%</t>
  </si>
  <si>
    <t xml:space="preserve">COMPOSANTE 2: EXCELLENCE DANS LA FORMATION </t>
  </si>
  <si>
    <t>2A</t>
  </si>
  <si>
    <t xml:space="preserve"> Développement de programme de formation</t>
  </si>
  <si>
    <t>2B</t>
  </si>
  <si>
    <t xml:space="preserve"> Formation des étudiants en Master et Doctorat</t>
  </si>
  <si>
    <t>2C</t>
  </si>
  <si>
    <t xml:space="preserve"> Formation de courte durée</t>
  </si>
  <si>
    <t>Sous-Action 2a: Développement de programme de formation</t>
  </si>
  <si>
    <t>Calcul</t>
  </si>
  <si>
    <t>Tâches</t>
  </si>
  <si>
    <t>Développer un curriculum de 60 crédits prenant en compte tous les maillons de la filière avicole</t>
  </si>
  <si>
    <t>Développer des curricula de la formation de courte durée en marketing des produits avicoles (conservation,conditionnement, e-commerce, distribution)
 cibles:  femmes  engagées dans la  commercialisation des produits avicoles</t>
  </si>
  <si>
    <t>Impliquer les partenaires pour  une formation de qualité (seminaire thématique en biostatistique, ethique et déontologie, rédaction des articles scientifiques)</t>
  </si>
  <si>
    <t>Mettre des étudiants régionaux  dans de conditions d'études acceptables (Inscription, hebergement et allocations de subsistance pour 44 régionaux)</t>
  </si>
  <si>
    <t>Mettre des étudiants régionaux  dans des conditions d'études acceptables (inscription, hébergement et allocations de subsistance pour 28 régionaux)</t>
  </si>
  <si>
    <t>Formations modulaires spécialisées pour les professionnels de la filière</t>
  </si>
  <si>
    <t>Renforcement des capacités des aviculteurs pour implémentation des résultats des recherches (procédés de transformation, alimentation des volailles, production de poussins d'un jour, etc)</t>
  </si>
  <si>
    <t>3A</t>
  </si>
  <si>
    <t xml:space="preserve"> Techniques innovantes de productions avicoles</t>
  </si>
  <si>
    <t>3B</t>
  </si>
  <si>
    <t xml:space="preserve"> Post-récolte des produits avicoles- transformation</t>
  </si>
  <si>
    <t>3C</t>
  </si>
  <si>
    <t xml:space="preserve"> Alimentation et nutrition animale</t>
  </si>
  <si>
    <t>3D</t>
  </si>
  <si>
    <t xml:space="preserve"> Analyse socio-économique de la filière avicole</t>
  </si>
  <si>
    <t>3E</t>
  </si>
  <si>
    <t xml:space="preserve"> Consommables et maintenance</t>
  </si>
  <si>
    <t>Etudier la performance et les paramètres physiologiques en fonction des conditions environnementales</t>
  </si>
  <si>
    <t xml:space="preserve">Effets des facteurs avant, pendant et après l'incubation des œufs de volailles sur la qualité des progénitures et trois (03) mémoires de master
cinq (05) thèses entamées,trois (03) thèses finalisées </t>
  </si>
  <si>
    <t>Efficacité des substances naturelles à propriétés pré/probiotiques et médécinales déterminée
Deux publications scientifiques
Deux(02) thèses de doctorat entamées et une(01) thèse
 finalisée
quatre (04) memoires master
Un mémoire de master finalisé
Sous-produits agroindutriels à propriétés pré/probiotiques identifiés</t>
  </si>
  <si>
    <r>
      <t xml:space="preserve">Biodiversité et protection de l'espèce en voie de disparition, </t>
    </r>
    <r>
      <rPr>
        <sz val="10"/>
        <color rgb="FFFF0000"/>
        <rFont val="Tahoma"/>
        <family val="2"/>
      </rPr>
      <t>amélioration de la poule locale, caractérisation moléculaire des volailles, effet des croissement des différents génotypes des poules</t>
    </r>
  </si>
  <si>
    <t xml:space="preserve">Noyaux de parentaux de trois races de poules et d'une race de pintade mis en place
 deux (02) Mémoires de master  et trois (03) thèses </t>
  </si>
  <si>
    <t>diagnostic du système de fumage de poulet et caractéistiques des poulets fumés détermiés
-Une thèse de doctorat finalisée
-Une publication scientifique</t>
  </si>
  <si>
    <t>Revisiter les perspectives des thèses de Dr Edikou et Dr Akakpo pour définir de nouvelles thématiques</t>
  </si>
  <si>
    <t>Développement d'une technique de valorisation des sous produits avicoles (plumes…)</t>
  </si>
  <si>
    <t>Revisiter les perspectives de la thèse du Dr KPOMASSE pour définir de nouvelles thématiques</t>
  </si>
  <si>
    <t>Etudier effet de substitution dela farine de poisson par la farine d'asticotsde mouches soldates sur la performance zootechniques des volailles</t>
  </si>
  <si>
    <t>Alimentation des reproducteurs</t>
  </si>
  <si>
    <t>Etablir les normes nutritionnelles des reproducteurs en milieu tropical</t>
  </si>
  <si>
    <t>Formules alimentaires, pour les différentes phases de développement des noyaux des parentaux mis en place, établis</t>
  </si>
  <si>
    <t xml:space="preserve">Etudier le profil chimique de l'huile de palme et ses effets sur les paramètres physiologiques et de production des poules </t>
  </si>
  <si>
    <t>Prévision minimale pour 2022</t>
  </si>
  <si>
    <r>
      <t xml:space="preserve"> </t>
    </r>
    <r>
      <rPr>
        <sz val="10"/>
        <color rgb="FFFF0000"/>
        <rFont val="Tahoma"/>
        <family val="2"/>
      </rPr>
      <t>Analyse de l'effet du changement climatique sur la filière avicole</t>
    </r>
  </si>
  <si>
    <t>Analyse du financement dela filière avicole</t>
  </si>
  <si>
    <t>Un dispositif d'approvisionnement en produits vétérinaires mis en place.</t>
  </si>
  <si>
    <t>4A</t>
  </si>
  <si>
    <t xml:space="preserve"> Mise en place d'une unité d'entrepreneuriat avicole de référence</t>
  </si>
  <si>
    <t>4B</t>
  </si>
  <si>
    <t xml:space="preserve"> Fonctionnement de l'alumni</t>
  </si>
  <si>
    <t>4C</t>
  </si>
  <si>
    <t xml:space="preserve"> Adoption des technologies  par les acteurs de la filière</t>
  </si>
  <si>
    <t>4D</t>
  </si>
  <si>
    <t xml:space="preserve"> Riposte à la pandémie de COVID 19</t>
  </si>
  <si>
    <t>Préparation du PGES,
Recrutement du maître d'œuvre
Recrutement de l'entreprise</t>
  </si>
  <si>
    <t>Aménagement des poulaillers de la ferme AYEODELE</t>
  </si>
  <si>
    <t xml:space="preserve"> Établir l’écosystème de l’innovation et de l’entrepreneuriat universitaire grâce au renforcement du Bureau de transfert de technologie (BTT) (ILD5,3-M1.1)</t>
  </si>
  <si>
    <t>Acquisition de matériel informatique et mobilier de bureau pour le bureau de transfert de technologies ; Lettre de soutien des activités de BTT par l'université de Lomé, Formation/renforcement de capacité des membres du bureau de transfert de technologies ; Etablissement de lien avec c les BTT internationaux (2 : 2ie et Entrepreneuriat de UCA) ; Etablissement de collaboration avec des incubateurs, des accélérateurs et des centres technologiques  (1 :  Sanvee badja) ; Protection de brevets et autres droits de propriété intellectuelle (2 farine asticot et poudre d’oeuf). Revisiter la stratégie opérationnelle  du Bureau de Transfert de technologie Création d’un comité universitaire de la propriété intellectuelle et de l’innovation. Élaboration d’un manuel opérationnel.</t>
  </si>
  <si>
    <t>Un bureau de BTT est mis en place</t>
  </si>
  <si>
    <t>deux(02) ordinateurs , imprimante et  deux (02) bureaux</t>
  </si>
  <si>
    <t>Un programme d’innovation et d’entrepreneuriat développé et offert pour les étudiants et les membres du corps professoral de chaque centre(5,3M2.1).</t>
  </si>
  <si>
    <t>Elaboration d'un programme de formation  sur l'innovation et l'entrepreneuriat  pour les étudiants de troisième cycle de CERSA ; Formation des étudiants et  membres du corps enseignant   sur la commercialisation des résultats de recherche ; Élaboration de concepts pour toutes les catégories de subventions proposées  (4 groupes de subventions) ; Evaluation des demandes et sélection des candidats dans chaque catégories de subventions (6 projets de technologies, 4 technologies finalisées ; 3 études de marchés pour technologies, 2 technologies commercialisées.)</t>
  </si>
  <si>
    <t>Organisation d’une Semaine de l’innovation initiée par le Centre sur le campus de l’Université(5,3M2.2)</t>
  </si>
  <si>
    <t>Organisation de semaine de l'innovation (rédaction de la note conceptuelle de l'événement et organisation de l'évènement) ; mise en ligne des résultats de communications de la semaine ; organisation et distribution de prix</t>
  </si>
  <si>
    <t xml:space="preserve"> Organisation trimestrielle d’ateliers, de conférences invitées, de webinaires sur le transfert et la commercialisation de technologies</t>
  </si>
  <si>
    <t>Organisation trimestrielle d’ateliers, de conférences invitées, de webinaires sur le transfert et la commercialisation de technologies(5.3)</t>
  </si>
  <si>
    <t xml:space="preserve"> Développer  (ou élargir l’accès à l’installation d’essai existante) disponible pour les entreprises régionales</t>
  </si>
  <si>
    <t xml:space="preserve">Élaboration d’une manuelle de procédure pour l'utilisation des installations de CERSA par les entreprises régionales; Lien sur le site Web du centre vers la page de l’installation d’essai avec des détails sur l’équipement disponible </t>
  </si>
  <si>
    <t xml:space="preserve"> Etablir un bureau de conseil en développement des affaires, y compris la mise en place d’un programme de mentorat pour les start-ups et / ou les entrepreneurs(5.3M3.2)</t>
  </si>
  <si>
    <t>Élaboration d’un manuel de procédure pour l'utilisation des installations de CERSA par les entreprises régionales ; Elaboration de manuel de procédure pour rémunération des membres du corps professoral exerçant comme consultant sur les activités du centre ; Développement d'un programme de mentorat pour les start-ups et/ou les entrepreneurs du secteur du centre ; Elaboration de programme de mentorat.</t>
  </si>
  <si>
    <t>Développer le concept d’un incubateur sectoriel (5.3)</t>
  </si>
  <si>
    <t>Elaboration d'un plan d’affaires détaillé) pour un incubateur sectoriel  montrant des preuves de contribution à la proposition par le secteur privé et les partenaires universitaires et l’approbation de la direction de l’université</t>
  </si>
  <si>
    <t>Elaborer les questionnaires, collecter les informations et rédiger le rapport</t>
  </si>
  <si>
    <t>Acquisition et installation de matériels de téléconférence et de réunions interactives</t>
  </si>
  <si>
    <t>Equiper le centre de matériel de téléconférence et de réunions interactives</t>
  </si>
  <si>
    <t>Salles de conférence et de réunion équipées pour des réunion interactifs et vidéoconférences</t>
  </si>
  <si>
    <t>INFRASTRUCTURES PEDAGOGIQUES ET DE RECHERCHE</t>
  </si>
  <si>
    <t xml:space="preserve"> Renforcement des infrastructures et équipements</t>
  </si>
  <si>
    <t xml:space="preserve"> Mise à l'échelle des unités </t>
  </si>
  <si>
    <t>Voirie du laboratoire et unités expérimentales réalisée</t>
  </si>
  <si>
    <t>Toiture de protection de la dalle du bloc pédagogique et de recherche réalisée</t>
  </si>
  <si>
    <t>Camera, électricité, plaques solaires, plomberie</t>
  </si>
  <si>
    <t>Aménagement des bureaux</t>
  </si>
  <si>
    <t>Fourniture et installation de rideaux</t>
  </si>
  <si>
    <t>Rideaux installés dans les bureaux</t>
  </si>
  <si>
    <t xml:space="preserve">Mise à l'échelle des couveuses de marque PETERSIME ®   </t>
  </si>
  <si>
    <t xml:space="preserve">Fourniture et installation des équipement des couveuses de marque PETERSIME ® </t>
  </si>
  <si>
    <t>Couveuses mises à l'échelle</t>
  </si>
  <si>
    <t>Couvoir du CERSA réhabilité</t>
  </si>
  <si>
    <t>Fourniture et installation d'un tunnel de congelation et d'une chambre froide y compris des équipements complémentaires et quelques travaux d'aménagement du local</t>
  </si>
  <si>
    <t>Patio</t>
  </si>
  <si>
    <t>Signer une convention avec le HCERES en vue de l'accréditation internationale des programmes de formation du CERSA</t>
  </si>
  <si>
    <t>Accréditation internationale des programmes de formation du CERSA</t>
  </si>
  <si>
    <t>programme de formation accrédité (renouvellement  de l'accréditation internationale du master en science et auto-évaluation du programme doctoral)</t>
  </si>
  <si>
    <t>Directeur/DA/Chef service formation/ Responsable accréditation</t>
  </si>
  <si>
    <t>Recrutement d'un consultant individuel pour l'élaboration du rapport d'étude d'impact environnemental et social (EIES) des travaux de l'unité entrepreunariale avicole de référence</t>
  </si>
  <si>
    <t>Etude d'impact environnemental et social (EIES) des travaux de l'unité entrepreunariale avicole de référence</t>
  </si>
  <si>
    <t>Rapport d'étude d'impact environnemental et social (EIES) élaboré</t>
  </si>
  <si>
    <t>Offrir un cadre de travail au startup, incubateur (avance de demarrage des travaux)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</si>
</sst>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 #,##0.00\ &quot;€&quot;_-;\-* #,##0.00\ &quot;€&quot;_-;_-* &quot;-&quot;??\ &quot;€&quot;_-;_-@_-"/>
    <numFmt numFmtId="43" formatCode="_-* #,##0.00\ _€_-;\-* #,##0.00\ _€_-;_-* &quot;-&quot;??\ _€_-;_-@_-"/>
    <numFmt numFmtId="164" formatCode="&quot;$&quot;#,##0"/>
    <numFmt numFmtId="165" formatCode="_-* #,##0\ _€_-;\-* #,##0\ _€_-;_-* &quot;-&quot;??\ _€_-;_-@_-"/>
    <numFmt numFmtId="166" formatCode="[$$-409]#,##0_ ;\-[$$-409]#,##0\ "/>
  </numFmts>
  <fonts count="42" x14ac:knownFonts="1">
    <font>
      <sz val="11"/>
      <color theme="1"/>
      <name val="Calibri"/>
      <family val="2"/>
      <scheme val="minor"/>
    </font>
    <font>
      <sz val="9"/>
      <color indexed="81"/>
      <name val="Tahoma"/>
      <family val="2"/>
    </font>
    <font>
      <b/>
      <sz val="9"/>
      <color indexed="81"/>
      <name val="Tahoma"/>
      <family val="2"/>
    </font>
    <font>
      <sz val="11"/>
      <color theme="1"/>
      <name val="Calibri"/>
      <family val="2"/>
      <scheme val="minor"/>
    </font>
    <font>
      <b/>
      <sz val="11"/>
      <color theme="1"/>
      <name val="Calibri"/>
      <family val="2"/>
      <scheme val="minor"/>
    </font>
    <font>
      <sz val="14"/>
      <color theme="1"/>
      <name val="Arial Narrow"/>
      <family val="2"/>
    </font>
    <font>
      <b/>
      <i/>
      <sz val="11"/>
      <color theme="1"/>
      <name val="Calibri"/>
      <family val="2"/>
      <scheme val="minor"/>
    </font>
    <font>
      <sz val="11"/>
      <color theme="1"/>
      <name val="Arial Narrow"/>
      <family val="2"/>
    </font>
    <font>
      <b/>
      <sz val="14"/>
      <color theme="1"/>
      <name val="Arial Narrow"/>
      <family val="2"/>
    </font>
    <font>
      <sz val="10"/>
      <name val="Times New Roman"/>
      <family val="1"/>
    </font>
    <font>
      <sz val="10"/>
      <name val="Calibri"/>
      <family val="2"/>
      <scheme val="minor"/>
    </font>
    <font>
      <b/>
      <sz val="10"/>
      <name val="Times New Roman"/>
      <family val="1"/>
    </font>
    <font>
      <sz val="10"/>
      <name val="Tahoma"/>
      <family val="2"/>
    </font>
    <font>
      <b/>
      <i/>
      <sz val="10"/>
      <name val="Times New Roman"/>
      <family val="1"/>
    </font>
    <font>
      <sz val="10"/>
      <name val="Arial"/>
      <family val="2"/>
    </font>
    <font>
      <sz val="10"/>
      <color theme="1"/>
      <name val="Tahoma"/>
      <family val="2"/>
    </font>
    <font>
      <b/>
      <i/>
      <sz val="10"/>
      <color theme="1"/>
      <name val="Times New Roman"/>
      <family val="1"/>
    </font>
    <font>
      <sz val="10"/>
      <color rgb="FFFF0000"/>
      <name val="Times New Roman"/>
      <family val="1"/>
    </font>
    <font>
      <sz val="10"/>
      <color rgb="FFFF0000"/>
      <name val="Tahoma"/>
      <family val="2"/>
    </font>
    <font>
      <sz val="11"/>
      <name val="Calibri"/>
      <family val="2"/>
      <scheme val="minor"/>
    </font>
    <font>
      <sz val="12"/>
      <color theme="1"/>
      <name val="Calibri"/>
      <family val="2"/>
      <scheme val="minor"/>
    </font>
    <font>
      <sz val="12"/>
      <name val="Times New Roman"/>
      <family val="1"/>
    </font>
    <font>
      <sz val="14"/>
      <color theme="1"/>
      <name val="Calibri"/>
      <family val="2"/>
      <scheme val="minor"/>
    </font>
    <font>
      <sz val="14"/>
      <name val="Times New Roman"/>
      <family val="1"/>
    </font>
    <font>
      <sz val="14"/>
      <color theme="1"/>
      <name val="Times New Roman"/>
      <family val="1"/>
    </font>
    <font>
      <b/>
      <sz val="11"/>
      <name val="Calibri"/>
      <family val="2"/>
      <scheme val="minor"/>
    </font>
    <font>
      <sz val="12"/>
      <color theme="1"/>
      <name val="Arial Narrow"/>
      <family val="2"/>
    </font>
    <font>
      <sz val="18"/>
      <color theme="1"/>
      <name val="Arial Narrow"/>
      <family val="2"/>
    </font>
    <font>
      <b/>
      <sz val="18"/>
      <color theme="1"/>
      <name val="Arial Narrow"/>
      <family val="2"/>
    </font>
    <font>
      <b/>
      <sz val="18"/>
      <color rgb="FFFF0000"/>
      <name val="Arial Narrow"/>
      <family val="2"/>
    </font>
    <font>
      <b/>
      <sz val="14"/>
      <name val="Calibri"/>
      <family val="2"/>
      <scheme val="minor"/>
    </font>
    <font>
      <sz val="14"/>
      <name val="Tahoma"/>
      <family val="2"/>
    </font>
    <font>
      <sz val="14"/>
      <color rgb="FFFF0000"/>
      <name val="Tahoma"/>
      <family val="2"/>
    </font>
    <font>
      <b/>
      <sz val="14"/>
      <name val="Tahoma"/>
      <family val="2"/>
    </font>
    <font>
      <b/>
      <sz val="14"/>
      <color theme="1"/>
      <name val="Calibri"/>
      <family val="2"/>
      <scheme val="minor"/>
    </font>
    <font>
      <sz val="11"/>
      <color rgb="FFFF0000"/>
      <name val="Arial Narrow"/>
      <family val="2"/>
    </font>
    <font>
      <b/>
      <sz val="12"/>
      <color theme="1"/>
      <name val="Calibri"/>
      <family val="2"/>
      <scheme val="minor"/>
    </font>
    <font>
      <sz val="11"/>
      <color rgb="FFFF0000"/>
      <name val="Calibri"/>
      <family val="2"/>
      <scheme val="minor"/>
    </font>
    <font>
      <sz val="11"/>
      <name val="Arial Narrow"/>
      <family val="2"/>
    </font>
    <font>
      <sz val="11"/>
      <color theme="1"/>
      <name val="Times New Roman"/>
      <family val="1"/>
    </font>
    <font>
      <b/>
      <sz val="11"/>
      <color theme="1"/>
      <name val="Times New Roman"/>
      <family val="1"/>
    </font>
    <font>
      <i/>
      <sz val="10"/>
      <name val="Calibri"/>
      <family val="2"/>
      <scheme val="minor"/>
    </font>
  </fonts>
  <fills count="12">
    <fill>
      <patternFill patternType="none"/>
    </fill>
    <fill>
      <patternFill patternType="gray125"/>
    </fill>
    <fill>
      <patternFill patternType="solid">
        <fgColor rgb="FF009FDA"/>
        <bgColor indexed="64"/>
      </patternFill>
    </fill>
    <fill>
      <patternFill patternType="solid">
        <fgColor theme="8" tint="0.39997558519241921"/>
        <bgColor indexed="64"/>
      </patternFill>
    </fill>
    <fill>
      <patternFill patternType="solid">
        <fgColor theme="2" tint="-9.9978637043366805E-2"/>
        <bgColor indexed="64"/>
      </patternFill>
    </fill>
    <fill>
      <patternFill patternType="solid">
        <fgColor rgb="FF0070C0"/>
        <bgColor indexed="64"/>
      </patternFill>
    </fill>
    <fill>
      <patternFill patternType="solid">
        <fgColor rgb="FFC00000"/>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5" tint="0.5999938962981048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indexed="64"/>
      </left>
      <right style="thin">
        <color indexed="64"/>
      </right>
      <top/>
      <bottom/>
      <diagonal/>
    </border>
  </borders>
  <cellStyleXfs count="4">
    <xf numFmtId="0" fontId="0" fillId="0" borderId="0"/>
    <xf numFmtId="44"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cellStyleXfs>
  <cellXfs count="264">
    <xf numFmtId="0" fontId="0" fillId="0" borderId="0" xfId="0"/>
    <xf numFmtId="0" fontId="0" fillId="0" borderId="0" xfId="0" applyAlignment="1">
      <alignment wrapText="1"/>
    </xf>
    <xf numFmtId="165" fontId="0" fillId="0" borderId="0" xfId="2" applyNumberFormat="1" applyFont="1"/>
    <xf numFmtId="165" fontId="0" fillId="0" borderId="0" xfId="0" applyNumberFormat="1"/>
    <xf numFmtId="0" fontId="5" fillId="0" borderId="0" xfId="0" applyFont="1"/>
    <xf numFmtId="0" fontId="5" fillId="0" borderId="0" xfId="0" applyFont="1" applyAlignment="1">
      <alignment wrapText="1"/>
    </xf>
    <xf numFmtId="165" fontId="6" fillId="0" borderId="0" xfId="2" applyNumberFormat="1" applyFont="1"/>
    <xf numFmtId="165" fontId="0" fillId="8" borderId="0" xfId="2" applyNumberFormat="1" applyFont="1" applyFill="1"/>
    <xf numFmtId="0" fontId="7" fillId="0" borderId="0" xfId="0" applyFont="1"/>
    <xf numFmtId="165" fontId="7" fillId="0" borderId="0" xfId="2" applyNumberFormat="1" applyFont="1"/>
    <xf numFmtId="0" fontId="0" fillId="0" borderId="0" xfId="0" applyAlignment="1">
      <alignment vertical="top" wrapText="1"/>
    </xf>
    <xf numFmtId="0" fontId="0" fillId="0" borderId="0" xfId="0" applyAlignment="1">
      <alignment horizontal="center" vertical="top" wrapText="1"/>
    </xf>
    <xf numFmtId="0" fontId="4" fillId="0" borderId="0" xfId="0" applyFont="1" applyAlignment="1">
      <alignment horizontal="center" vertical="top" wrapText="1"/>
    </xf>
    <xf numFmtId="0" fontId="7" fillId="0" borderId="0" xfId="0" applyFont="1" applyAlignment="1">
      <alignment vertical="top" wrapText="1"/>
    </xf>
    <xf numFmtId="165" fontId="0" fillId="0" borderId="0" xfId="2" applyNumberFormat="1" applyFont="1" applyAlignment="1">
      <alignment horizontal="center"/>
    </xf>
    <xf numFmtId="165" fontId="4" fillId="0" borderId="0" xfId="2" applyNumberFormat="1" applyFont="1" applyAlignment="1">
      <alignment horizontal="center" vertical="center"/>
    </xf>
    <xf numFmtId="165" fontId="0" fillId="0" borderId="0" xfId="2" applyNumberFormat="1" applyFont="1" applyAlignment="1">
      <alignment horizontal="center" vertical="center"/>
    </xf>
    <xf numFmtId="0" fontId="7" fillId="0" borderId="0" xfId="0" applyFont="1" applyAlignment="1">
      <alignment vertical="top"/>
    </xf>
    <xf numFmtId="0" fontId="9" fillId="0" borderId="0" xfId="0" applyFont="1"/>
    <xf numFmtId="0" fontId="9" fillId="0" borderId="4" xfId="0" applyFont="1" applyBorder="1"/>
    <xf numFmtId="0" fontId="9" fillId="0" borderId="5" xfId="0" applyFont="1" applyBorder="1"/>
    <xf numFmtId="0" fontId="9" fillId="7" borderId="0" xfId="0" applyFont="1" applyFill="1" applyAlignment="1">
      <alignment horizontal="center"/>
    </xf>
    <xf numFmtId="0" fontId="9" fillId="0" borderId="2" xfId="0" applyFont="1" applyBorder="1"/>
    <xf numFmtId="0" fontId="9" fillId="5" borderId="0" xfId="0" applyFont="1" applyFill="1" applyAlignment="1">
      <alignment horizontal="center"/>
    </xf>
    <xf numFmtId="0" fontId="9" fillId="6" borderId="0" xfId="0" applyFont="1" applyFill="1" applyAlignment="1">
      <alignment horizontal="center"/>
    </xf>
    <xf numFmtId="0" fontId="9" fillId="0" borderId="6" xfId="0" applyFont="1" applyBorder="1"/>
    <xf numFmtId="0" fontId="9" fillId="0" borderId="7" xfId="0" applyFont="1" applyBorder="1"/>
    <xf numFmtId="0" fontId="10" fillId="0" borderId="0" xfId="0" applyFont="1"/>
    <xf numFmtId="0" fontId="9" fillId="0" borderId="1" xfId="0" applyFont="1" applyBorder="1"/>
    <xf numFmtId="0" fontId="12" fillId="0" borderId="1" xfId="0" applyFont="1" applyBorder="1" applyAlignment="1">
      <alignment wrapText="1"/>
    </xf>
    <xf numFmtId="0" fontId="9" fillId="0" borderId="1" xfId="0" applyFont="1" applyBorder="1" applyAlignment="1">
      <alignment vertical="top"/>
    </xf>
    <xf numFmtId="0" fontId="12" fillId="0" borderId="1" xfId="0" applyFont="1" applyBorder="1" applyAlignment="1">
      <alignment vertical="top" wrapText="1"/>
    </xf>
    <xf numFmtId="0" fontId="9" fillId="2" borderId="1" xfId="0" applyFont="1" applyFill="1" applyBorder="1"/>
    <xf numFmtId="164" fontId="12" fillId="0" borderId="1" xfId="0" applyNumberFormat="1" applyFont="1" applyBorder="1" applyAlignment="1">
      <alignment horizontal="right" wrapText="1"/>
    </xf>
    <xf numFmtId="0" fontId="12" fillId="0" borderId="1" xfId="0" applyFont="1" applyBorder="1" applyAlignment="1">
      <alignment horizontal="left" wrapText="1"/>
    </xf>
    <xf numFmtId="164" fontId="12" fillId="0" borderId="1" xfId="0" applyNumberFormat="1" applyFont="1" applyBorder="1" applyAlignment="1">
      <alignment horizontal="right" vertical="center" wrapText="1"/>
    </xf>
    <xf numFmtId="164" fontId="14" fillId="0" borderId="1" xfId="0" applyNumberFormat="1" applyFont="1" applyBorder="1"/>
    <xf numFmtId="164" fontId="12" fillId="0" borderId="1" xfId="1" applyNumberFormat="1" applyFont="1" applyFill="1" applyBorder="1" applyAlignment="1">
      <alignment horizontal="right" wrapText="1"/>
    </xf>
    <xf numFmtId="0" fontId="9" fillId="0" borderId="1" xfId="0" applyFont="1" applyBorder="1" applyAlignment="1">
      <alignment horizontal="right" vertical="top"/>
    </xf>
    <xf numFmtId="0" fontId="12" fillId="0" borderId="1" xfId="0" applyFont="1" applyBorder="1" applyAlignment="1">
      <alignment horizontal="left" vertical="top" wrapText="1"/>
    </xf>
    <xf numFmtId="0" fontId="9" fillId="0" borderId="1" xfId="0" applyFont="1" applyBorder="1" applyAlignment="1">
      <alignment horizontal="right"/>
    </xf>
    <xf numFmtId="0" fontId="14" fillId="0" borderId="1" xfId="0" applyFont="1" applyBorder="1" applyAlignment="1">
      <alignment vertical="top" wrapText="1"/>
    </xf>
    <xf numFmtId="0" fontId="9" fillId="2" borderId="1" xfId="0" applyFont="1" applyFill="1" applyBorder="1" applyAlignment="1">
      <alignment vertical="top"/>
    </xf>
    <xf numFmtId="0" fontId="9" fillId="0" borderId="1" xfId="0" applyFont="1" applyBorder="1" applyAlignment="1">
      <alignment horizontal="center" vertical="top"/>
    </xf>
    <xf numFmtId="0" fontId="15" fillId="0" borderId="1" xfId="0" applyFont="1" applyBorder="1" applyAlignment="1">
      <alignment wrapText="1"/>
    </xf>
    <xf numFmtId="164" fontId="12" fillId="0" borderId="1" xfId="0" applyNumberFormat="1" applyFont="1" applyBorder="1" applyAlignment="1">
      <alignment horizontal="right" vertical="top" wrapText="1"/>
    </xf>
    <xf numFmtId="164" fontId="12" fillId="0" borderId="1" xfId="1" applyNumberFormat="1" applyFont="1" applyFill="1" applyBorder="1" applyAlignment="1">
      <alignment horizontal="right" vertical="top" wrapText="1"/>
    </xf>
    <xf numFmtId="0" fontId="13" fillId="0" borderId="1" xfId="0" applyFont="1" applyBorder="1" applyAlignment="1">
      <alignment horizontal="left" vertical="top"/>
    </xf>
    <xf numFmtId="0" fontId="10" fillId="0" borderId="1" xfId="0" applyFont="1" applyBorder="1"/>
    <xf numFmtId="0" fontId="17" fillId="0" borderId="1" xfId="0" applyFont="1" applyBorder="1" applyAlignment="1">
      <alignment vertical="top"/>
    </xf>
    <xf numFmtId="0" fontId="18" fillId="0" borderId="1" xfId="0" applyFont="1" applyBorder="1" applyAlignment="1">
      <alignment horizontal="left" vertical="top" wrapText="1"/>
    </xf>
    <xf numFmtId="164" fontId="18" fillId="0" borderId="1" xfId="0" applyNumberFormat="1" applyFont="1" applyBorder="1" applyAlignment="1">
      <alignment horizontal="right" vertical="top" wrapText="1"/>
    </xf>
    <xf numFmtId="165" fontId="12" fillId="0" borderId="0" xfId="2" applyNumberFormat="1" applyFont="1" applyFill="1" applyBorder="1" applyAlignment="1">
      <alignment horizontal="right" wrapText="1"/>
    </xf>
    <xf numFmtId="0" fontId="7" fillId="0" borderId="14" xfId="0" applyFont="1" applyBorder="1"/>
    <xf numFmtId="0" fontId="7" fillId="0" borderId="14" xfId="0" applyFont="1" applyBorder="1" applyAlignment="1">
      <alignment wrapText="1"/>
    </xf>
    <xf numFmtId="0" fontId="7" fillId="0" borderId="15" xfId="0" applyFont="1" applyBorder="1"/>
    <xf numFmtId="0" fontId="7" fillId="0" borderId="15" xfId="0" applyFont="1" applyBorder="1" applyAlignment="1">
      <alignment wrapText="1"/>
    </xf>
    <xf numFmtId="165" fontId="7" fillId="0" borderId="15" xfId="2" applyNumberFormat="1" applyFont="1" applyBorder="1"/>
    <xf numFmtId="0" fontId="13" fillId="0" borderId="0" xfId="0" applyFont="1"/>
    <xf numFmtId="0" fontId="13" fillId="0" borderId="0" xfId="0" applyFont="1" applyAlignment="1">
      <alignment vertical="top"/>
    </xf>
    <xf numFmtId="0" fontId="0" fillId="0" borderId="1" xfId="0" applyBorder="1"/>
    <xf numFmtId="0" fontId="0" fillId="0" borderId="0" xfId="0" applyAlignment="1">
      <alignment vertical="top"/>
    </xf>
    <xf numFmtId="0" fontId="16" fillId="0" borderId="0" xfId="0" applyFont="1" applyAlignment="1">
      <alignment vertical="top" wrapText="1"/>
    </xf>
    <xf numFmtId="0" fontId="13" fillId="0" borderId="0" xfId="0" applyFont="1" applyAlignment="1">
      <alignment vertical="top" wrapText="1"/>
    </xf>
    <xf numFmtId="165" fontId="12" fillId="0" borderId="1" xfId="2" applyNumberFormat="1" applyFont="1" applyFill="1" applyBorder="1" applyAlignment="1">
      <alignment horizontal="right" vertical="top" wrapText="1"/>
    </xf>
    <xf numFmtId="9" fontId="18" fillId="0" borderId="1" xfId="3" applyFont="1" applyFill="1" applyBorder="1" applyAlignment="1">
      <alignment horizontal="right" wrapText="1"/>
    </xf>
    <xf numFmtId="165" fontId="12" fillId="0" borderId="1" xfId="2" applyNumberFormat="1" applyFont="1" applyFill="1" applyBorder="1" applyAlignment="1">
      <alignment vertical="top" wrapText="1"/>
    </xf>
    <xf numFmtId="0" fontId="13" fillId="4" borderId="1" xfId="0" applyFont="1" applyFill="1" applyBorder="1" applyAlignment="1">
      <alignment vertical="top"/>
    </xf>
    <xf numFmtId="0" fontId="19" fillId="0" borderId="1" xfId="0" applyFont="1" applyBorder="1"/>
    <xf numFmtId="9" fontId="12" fillId="0" borderId="1" xfId="3" applyFont="1" applyFill="1" applyBorder="1" applyAlignment="1">
      <alignment horizontal="right" wrapText="1"/>
    </xf>
    <xf numFmtId="165" fontId="12" fillId="0" borderId="1" xfId="2" applyNumberFormat="1" applyFont="1" applyFill="1" applyBorder="1" applyAlignment="1">
      <alignment horizontal="right" wrapText="1"/>
    </xf>
    <xf numFmtId="0" fontId="14" fillId="0" borderId="1" xfId="0" applyFont="1" applyBorder="1" applyAlignment="1">
      <alignment horizontal="left" wrapText="1"/>
    </xf>
    <xf numFmtId="0" fontId="14" fillId="0" borderId="1" xfId="0" applyFont="1" applyBorder="1" applyAlignment="1">
      <alignment horizontal="left" vertical="top" wrapText="1"/>
    </xf>
    <xf numFmtId="0" fontId="0" fillId="0" borderId="1" xfId="0" applyBorder="1" applyAlignment="1">
      <alignment vertical="top"/>
    </xf>
    <xf numFmtId="164" fontId="0" fillId="0" borderId="1" xfId="0" applyNumberFormat="1" applyBorder="1"/>
    <xf numFmtId="165" fontId="0" fillId="0" borderId="1" xfId="0" applyNumberFormat="1" applyBorder="1"/>
    <xf numFmtId="9" fontId="0" fillId="0" borderId="1" xfId="0" applyNumberFormat="1" applyBorder="1"/>
    <xf numFmtId="9" fontId="12" fillId="0" borderId="1" xfId="3" applyFont="1" applyFill="1" applyBorder="1" applyAlignment="1">
      <alignment horizontal="right" vertical="top" wrapText="1"/>
    </xf>
    <xf numFmtId="0" fontId="5" fillId="0" borderId="1" xfId="0" applyFont="1" applyBorder="1"/>
    <xf numFmtId="0" fontId="5" fillId="0" borderId="1" xfId="0" applyFont="1" applyBorder="1" applyAlignment="1">
      <alignment wrapText="1"/>
    </xf>
    <xf numFmtId="165" fontId="5" fillId="0" borderId="1" xfId="2" applyNumberFormat="1" applyFont="1" applyBorder="1"/>
    <xf numFmtId="10" fontId="5" fillId="0" borderId="1" xfId="3" applyNumberFormat="1" applyFont="1" applyBorder="1"/>
    <xf numFmtId="0" fontId="8" fillId="0" borderId="1" xfId="0" applyFont="1" applyBorder="1" applyAlignment="1">
      <alignment wrapText="1"/>
    </xf>
    <xf numFmtId="165" fontId="8" fillId="0" borderId="1" xfId="0" applyNumberFormat="1" applyFont="1" applyBorder="1"/>
    <xf numFmtId="165" fontId="8" fillId="0" borderId="1" xfId="2" applyNumberFormat="1" applyFont="1" applyBorder="1"/>
    <xf numFmtId="10" fontId="8" fillId="0" borderId="1" xfId="3" applyNumberFormat="1" applyFont="1" applyBorder="1"/>
    <xf numFmtId="0" fontId="7" fillId="0" borderId="1" xfId="0" applyFont="1" applyBorder="1" applyAlignment="1">
      <alignment wrapText="1"/>
    </xf>
    <xf numFmtId="0" fontId="22" fillId="0" borderId="1" xfId="0" applyFont="1" applyBorder="1" applyAlignment="1">
      <alignment vertical="top"/>
    </xf>
    <xf numFmtId="0" fontId="23" fillId="0" borderId="1" xfId="0" applyFont="1" applyBorder="1" applyAlignment="1">
      <alignment vertical="top" wrapText="1"/>
    </xf>
    <xf numFmtId="0" fontId="22" fillId="0" borderId="1" xfId="0" applyFont="1" applyBorder="1"/>
    <xf numFmtId="0" fontId="24" fillId="0" borderId="1" xfId="0" applyFont="1" applyBorder="1" applyAlignment="1">
      <alignment wrapText="1"/>
    </xf>
    <xf numFmtId="0" fontId="24" fillId="0" borderId="1" xfId="0" applyFont="1" applyBorder="1" applyAlignment="1">
      <alignment vertical="top" wrapText="1"/>
    </xf>
    <xf numFmtId="0" fontId="23" fillId="0" borderId="1" xfId="0" applyFont="1" applyBorder="1" applyAlignment="1">
      <alignment wrapText="1"/>
    </xf>
    <xf numFmtId="43" fontId="0" fillId="0" borderId="0" xfId="2" applyFont="1"/>
    <xf numFmtId="165" fontId="19" fillId="0" borderId="17" xfId="2" applyNumberFormat="1" applyFont="1" applyFill="1" applyBorder="1"/>
    <xf numFmtId="165" fontId="13" fillId="0" borderId="0" xfId="2" applyNumberFormat="1" applyFont="1" applyFill="1" applyBorder="1" applyAlignment="1"/>
    <xf numFmtId="165" fontId="19" fillId="0" borderId="1" xfId="2" applyNumberFormat="1" applyFont="1" applyFill="1" applyBorder="1"/>
    <xf numFmtId="165" fontId="13" fillId="0" borderId="1" xfId="2" applyNumberFormat="1" applyFont="1" applyFill="1" applyBorder="1" applyAlignment="1"/>
    <xf numFmtId="0" fontId="4" fillId="0" borderId="1" xfId="0" applyFont="1" applyBorder="1"/>
    <xf numFmtId="165" fontId="0" fillId="0" borderId="1" xfId="2" applyNumberFormat="1" applyFont="1" applyBorder="1"/>
    <xf numFmtId="0" fontId="12" fillId="9" borderId="1" xfId="0" applyFont="1" applyFill="1" applyBorder="1" applyAlignment="1">
      <alignment vertical="top" wrapText="1"/>
    </xf>
    <xf numFmtId="164" fontId="12" fillId="9" borderId="1" xfId="0" applyNumberFormat="1" applyFont="1" applyFill="1" applyBorder="1" applyAlignment="1">
      <alignment horizontal="right" vertical="top" wrapText="1"/>
    </xf>
    <xf numFmtId="165" fontId="19" fillId="10" borderId="1" xfId="2" applyNumberFormat="1" applyFont="1" applyFill="1" applyBorder="1"/>
    <xf numFmtId="165" fontId="19" fillId="0" borderId="1" xfId="2" applyNumberFormat="1" applyFont="1" applyBorder="1"/>
    <xf numFmtId="0" fontId="4" fillId="0" borderId="0" xfId="0" applyFont="1"/>
    <xf numFmtId="165" fontId="25" fillId="0" borderId="1" xfId="2" applyNumberFormat="1" applyFont="1" applyFill="1" applyBorder="1"/>
    <xf numFmtId="165" fontId="0" fillId="0" borderId="1" xfId="2" applyNumberFormat="1" applyFont="1" applyFill="1" applyBorder="1"/>
    <xf numFmtId="0" fontId="19" fillId="0" borderId="0" xfId="0" applyFont="1"/>
    <xf numFmtId="165" fontId="19" fillId="0" borderId="0" xfId="2" applyNumberFormat="1" applyFont="1"/>
    <xf numFmtId="164" fontId="14" fillId="0" borderId="1" xfId="0" applyNumberFormat="1" applyFont="1" applyBorder="1" applyAlignment="1">
      <alignment vertical="top"/>
    </xf>
    <xf numFmtId="0" fontId="22" fillId="0" borderId="0" xfId="0" applyFont="1"/>
    <xf numFmtId="0" fontId="23" fillId="0" borderId="2" xfId="0" applyFont="1" applyBorder="1" applyAlignment="1">
      <alignment vertical="top" wrapText="1"/>
    </xf>
    <xf numFmtId="0" fontId="23" fillId="0" borderId="0" xfId="0" applyFont="1" applyAlignment="1">
      <alignment vertical="top" wrapText="1"/>
    </xf>
    <xf numFmtId="165" fontId="23" fillId="0" borderId="1" xfId="2" applyNumberFormat="1" applyFont="1" applyFill="1" applyBorder="1" applyAlignment="1">
      <alignment vertical="top" wrapText="1"/>
    </xf>
    <xf numFmtId="165" fontId="22" fillId="0" borderId="1" xfId="2" applyNumberFormat="1" applyFont="1" applyBorder="1"/>
    <xf numFmtId="165" fontId="21" fillId="0" borderId="1" xfId="2" applyNumberFormat="1" applyFont="1" applyFill="1" applyBorder="1" applyAlignment="1">
      <alignment horizontal="left" wrapText="1"/>
    </xf>
    <xf numFmtId="165" fontId="21" fillId="0" borderId="1" xfId="2" applyNumberFormat="1" applyFont="1" applyFill="1" applyBorder="1" applyAlignment="1">
      <alignment horizontal="left" vertical="top" wrapText="1"/>
    </xf>
    <xf numFmtId="165" fontId="21" fillId="0" borderId="1" xfId="2" applyNumberFormat="1" applyFont="1" applyFill="1" applyBorder="1" applyAlignment="1">
      <alignment vertical="top" wrapText="1"/>
    </xf>
    <xf numFmtId="165" fontId="20" fillId="0" borderId="0" xfId="2" applyNumberFormat="1" applyFont="1" applyFill="1"/>
    <xf numFmtId="165" fontId="20" fillId="0" borderId="0" xfId="2" applyNumberFormat="1" applyFont="1" applyFill="1" applyAlignment="1">
      <alignment wrapText="1"/>
    </xf>
    <xf numFmtId="165" fontId="20" fillId="0" borderId="1" xfId="2" applyNumberFormat="1" applyFont="1" applyFill="1" applyBorder="1"/>
    <xf numFmtId="165" fontId="26" fillId="0" borderId="1" xfId="2" applyNumberFormat="1" applyFont="1" applyBorder="1"/>
    <xf numFmtId="165" fontId="26" fillId="0" borderId="1" xfId="2" applyNumberFormat="1" applyFont="1" applyBorder="1" applyAlignment="1">
      <alignment wrapText="1"/>
    </xf>
    <xf numFmtId="165" fontId="21" fillId="0" borderId="1" xfId="2" applyNumberFormat="1" applyFont="1" applyFill="1" applyBorder="1" applyAlignment="1"/>
    <xf numFmtId="165" fontId="21" fillId="0" borderId="0" xfId="2" applyNumberFormat="1" applyFont="1" applyFill="1" applyBorder="1" applyAlignment="1"/>
    <xf numFmtId="165" fontId="21" fillId="0" borderId="1" xfId="2" applyNumberFormat="1" applyFont="1" applyFill="1" applyBorder="1" applyAlignment="1">
      <alignment vertical="top"/>
    </xf>
    <xf numFmtId="165" fontId="21" fillId="0" borderId="0" xfId="2" applyNumberFormat="1" applyFont="1" applyFill="1" applyBorder="1" applyAlignment="1">
      <alignment vertical="top"/>
    </xf>
    <xf numFmtId="165" fontId="23" fillId="0" borderId="1" xfId="2" applyNumberFormat="1" applyFont="1" applyFill="1" applyBorder="1" applyAlignment="1"/>
    <xf numFmtId="165" fontId="4" fillId="0" borderId="0" xfId="2" applyNumberFormat="1" applyFont="1"/>
    <xf numFmtId="0" fontId="27" fillId="0" borderId="15" xfId="0" applyFont="1" applyBorder="1" applyAlignment="1">
      <alignment vertical="top"/>
    </xf>
    <xf numFmtId="0" fontId="27" fillId="0" borderId="15" xfId="0" applyFont="1" applyBorder="1" applyAlignment="1">
      <alignment vertical="top" wrapText="1"/>
    </xf>
    <xf numFmtId="165" fontId="27" fillId="0" borderId="15" xfId="2" applyNumberFormat="1" applyFont="1" applyBorder="1" applyAlignment="1">
      <alignment vertical="top"/>
    </xf>
    <xf numFmtId="0" fontId="28" fillId="0" borderId="16" xfId="0" applyFont="1" applyBorder="1" applyAlignment="1">
      <alignment vertical="top"/>
    </xf>
    <xf numFmtId="0" fontId="28" fillId="0" borderId="16" xfId="0" applyFont="1" applyBorder="1" applyAlignment="1">
      <alignment vertical="top" wrapText="1"/>
    </xf>
    <xf numFmtId="165" fontId="28" fillId="0" borderId="16" xfId="0" applyNumberFormat="1" applyFont="1" applyBorder="1" applyAlignment="1">
      <alignment vertical="top"/>
    </xf>
    <xf numFmtId="165" fontId="28" fillId="0" borderId="16" xfId="2" applyNumberFormat="1" applyFont="1" applyBorder="1" applyAlignment="1">
      <alignment vertical="top"/>
    </xf>
    <xf numFmtId="165" fontId="29" fillId="0" borderId="16" xfId="0" applyNumberFormat="1" applyFont="1" applyBorder="1" applyAlignment="1">
      <alignment vertical="top"/>
    </xf>
    <xf numFmtId="165" fontId="22" fillId="0" borderId="0" xfId="2" applyNumberFormat="1" applyFont="1"/>
    <xf numFmtId="165" fontId="30" fillId="0" borderId="1" xfId="2" applyNumberFormat="1" applyFont="1" applyBorder="1"/>
    <xf numFmtId="0" fontId="23" fillId="0" borderId="1" xfId="0" applyFont="1" applyBorder="1" applyAlignment="1">
      <alignment vertical="top"/>
    </xf>
    <xf numFmtId="0" fontId="31" fillId="0" borderId="1" xfId="0" applyFont="1" applyBorder="1" applyAlignment="1">
      <alignment vertical="top" wrapText="1"/>
    </xf>
    <xf numFmtId="164" fontId="31" fillId="0" borderId="1" xfId="0" applyNumberFormat="1" applyFont="1" applyBorder="1" applyAlignment="1">
      <alignment horizontal="right" wrapText="1"/>
    </xf>
    <xf numFmtId="165" fontId="31" fillId="0" borderId="1" xfId="2" applyNumberFormat="1" applyFont="1" applyFill="1" applyBorder="1" applyAlignment="1">
      <alignment horizontal="right" wrapText="1"/>
    </xf>
    <xf numFmtId="9" fontId="32" fillId="0" borderId="1" xfId="3" applyFont="1" applyFill="1" applyBorder="1" applyAlignment="1">
      <alignment horizontal="right" wrapText="1"/>
    </xf>
    <xf numFmtId="165" fontId="33" fillId="0" borderId="1" xfId="2" applyNumberFormat="1" applyFont="1" applyFill="1" applyBorder="1" applyAlignment="1">
      <alignment horizontal="right" wrapText="1"/>
    </xf>
    <xf numFmtId="0" fontId="19" fillId="0" borderId="17" xfId="0" applyFont="1" applyBorder="1"/>
    <xf numFmtId="165" fontId="0" fillId="0" borderId="0" xfId="2" applyNumberFormat="1" applyFont="1" applyFill="1"/>
    <xf numFmtId="165" fontId="19" fillId="10" borderId="17" xfId="2" applyNumberFormat="1" applyFont="1" applyFill="1" applyBorder="1"/>
    <xf numFmtId="165" fontId="20" fillId="0" borderId="1" xfId="2" applyNumberFormat="1" applyFont="1" applyBorder="1"/>
    <xf numFmtId="164" fontId="14" fillId="0" borderId="1" xfId="0" applyNumberFormat="1" applyFont="1" applyBorder="1" applyAlignment="1">
      <alignment vertical="center"/>
    </xf>
    <xf numFmtId="165" fontId="12" fillId="0" borderId="1" xfId="2" applyNumberFormat="1" applyFont="1" applyFill="1" applyBorder="1" applyAlignment="1">
      <alignment horizontal="right" vertical="center" wrapText="1"/>
    </xf>
    <xf numFmtId="9" fontId="12" fillId="0" borderId="1" xfId="3" applyFont="1" applyFill="1" applyBorder="1" applyAlignment="1">
      <alignment horizontal="right" vertical="center" wrapText="1"/>
    </xf>
    <xf numFmtId="165" fontId="25" fillId="0" borderId="1" xfId="2" applyNumberFormat="1" applyFont="1" applyFill="1" applyBorder="1" applyAlignment="1">
      <alignment vertical="center"/>
    </xf>
    <xf numFmtId="165" fontId="25" fillId="0" borderId="0" xfId="2" applyNumberFormat="1" applyFont="1" applyFill="1" applyBorder="1"/>
    <xf numFmtId="165" fontId="25" fillId="0" borderId="0" xfId="2" applyNumberFormat="1" applyFont="1" applyFill="1" applyBorder="1" applyAlignment="1">
      <alignment vertical="center"/>
    </xf>
    <xf numFmtId="165" fontId="34" fillId="0" borderId="1" xfId="2" applyNumberFormat="1" applyFont="1" applyFill="1" applyBorder="1"/>
    <xf numFmtId="165" fontId="0" fillId="0" borderId="0" xfId="2" applyNumberFormat="1" applyFont="1" applyBorder="1"/>
    <xf numFmtId="165" fontId="18" fillId="0" borderId="0" xfId="2" applyNumberFormat="1" applyFont="1" applyFill="1" applyBorder="1" applyAlignment="1">
      <alignment horizontal="right" wrapText="1"/>
    </xf>
    <xf numFmtId="165" fontId="18" fillId="9" borderId="1" xfId="2" applyNumberFormat="1" applyFont="1" applyFill="1" applyBorder="1" applyAlignment="1">
      <alignment horizontal="right" wrapText="1"/>
    </xf>
    <xf numFmtId="0" fontId="19" fillId="0" borderId="1" xfId="0" applyFont="1" applyBorder="1" applyAlignment="1">
      <alignment vertical="top"/>
    </xf>
    <xf numFmtId="0" fontId="35" fillId="0" borderId="1" xfId="0" quotePrefix="1" applyFont="1" applyBorder="1" applyAlignment="1">
      <alignment vertical="top" wrapText="1"/>
    </xf>
    <xf numFmtId="165" fontId="36" fillId="0" borderId="1" xfId="2" applyNumberFormat="1" applyFont="1" applyFill="1" applyBorder="1"/>
    <xf numFmtId="165" fontId="36" fillId="0" borderId="1" xfId="2" applyNumberFormat="1" applyFont="1" applyFill="1" applyBorder="1" applyAlignment="1">
      <alignment wrapText="1"/>
    </xf>
    <xf numFmtId="0" fontId="15" fillId="0" borderId="1" xfId="0" applyFont="1" applyBorder="1" applyAlignment="1">
      <alignment vertical="top" wrapText="1"/>
    </xf>
    <xf numFmtId="0" fontId="0" fillId="0" borderId="2" xfId="0" applyBorder="1"/>
    <xf numFmtId="0" fontId="18" fillId="0" borderId="1" xfId="0" quotePrefix="1" applyFont="1" applyBorder="1" applyAlignment="1">
      <alignment vertical="top" wrapText="1"/>
    </xf>
    <xf numFmtId="0" fontId="37" fillId="0" borderId="0" xfId="0" applyFont="1" applyAlignment="1">
      <alignment vertical="top" wrapText="1"/>
    </xf>
    <xf numFmtId="164" fontId="12" fillId="0" borderId="1" xfId="0" applyNumberFormat="1" applyFont="1" applyBorder="1" applyAlignment="1">
      <alignment horizontal="center" vertical="top" wrapText="1"/>
    </xf>
    <xf numFmtId="165" fontId="12" fillId="0" borderId="1" xfId="2" applyNumberFormat="1" applyFont="1" applyFill="1" applyBorder="1" applyAlignment="1">
      <alignment horizontal="center" vertical="top" wrapText="1"/>
    </xf>
    <xf numFmtId="165" fontId="12" fillId="0" borderId="1" xfId="2" applyNumberFormat="1" applyFont="1" applyFill="1" applyBorder="1" applyAlignment="1">
      <alignment horizontal="center" wrapText="1"/>
    </xf>
    <xf numFmtId="0" fontId="0" fillId="0" borderId="17" xfId="0" applyBorder="1"/>
    <xf numFmtId="9" fontId="18" fillId="0" borderId="1" xfId="3" applyFont="1" applyFill="1" applyBorder="1" applyAlignment="1">
      <alignment horizontal="right" vertical="top" wrapText="1"/>
    </xf>
    <xf numFmtId="165" fontId="0" fillId="0" borderId="1" xfId="2" applyNumberFormat="1" applyFont="1" applyBorder="1" applyAlignment="1">
      <alignment vertical="top"/>
    </xf>
    <xf numFmtId="0" fontId="22" fillId="0" borderId="0" xfId="0" applyFont="1" applyAlignment="1">
      <alignment vertical="top"/>
    </xf>
    <xf numFmtId="0" fontId="0" fillId="9" borderId="0" xfId="0" applyFill="1"/>
    <xf numFmtId="165" fontId="12" fillId="9" borderId="1" xfId="2" applyNumberFormat="1" applyFont="1" applyFill="1" applyBorder="1" applyAlignment="1">
      <alignment horizontal="right" vertical="top" wrapText="1"/>
    </xf>
    <xf numFmtId="0" fontId="9" fillId="9" borderId="1" xfId="0" applyFont="1" applyFill="1" applyBorder="1" applyAlignment="1">
      <alignment vertical="top"/>
    </xf>
    <xf numFmtId="9" fontId="12" fillId="9" borderId="1" xfId="3" applyFont="1" applyFill="1" applyBorder="1" applyAlignment="1">
      <alignment horizontal="right" wrapText="1"/>
    </xf>
    <xf numFmtId="165" fontId="19" fillId="9" borderId="1" xfId="2" applyNumberFormat="1" applyFont="1" applyFill="1" applyBorder="1"/>
    <xf numFmtId="0" fontId="0" fillId="0" borderId="7" xfId="0" applyBorder="1"/>
    <xf numFmtId="165" fontId="0" fillId="0" borderId="0" xfId="2" applyNumberFormat="1" applyFont="1" applyAlignment="1">
      <alignment vertical="top"/>
    </xf>
    <xf numFmtId="0" fontId="4" fillId="0" borderId="1" xfId="0" applyFont="1" applyBorder="1" applyAlignment="1">
      <alignment vertical="top"/>
    </xf>
    <xf numFmtId="165" fontId="4" fillId="0" borderId="1" xfId="2" applyNumberFormat="1" applyFont="1" applyBorder="1" applyAlignment="1">
      <alignment vertical="top"/>
    </xf>
    <xf numFmtId="10" fontId="18" fillId="0" borderId="1" xfId="3" applyNumberFormat="1" applyFont="1" applyFill="1" applyBorder="1" applyAlignment="1">
      <alignment horizontal="right" vertical="top" wrapText="1"/>
    </xf>
    <xf numFmtId="165" fontId="18" fillId="0" borderId="1" xfId="2" applyNumberFormat="1" applyFont="1" applyFill="1" applyBorder="1" applyAlignment="1">
      <alignment horizontal="right" vertical="top" wrapText="1"/>
    </xf>
    <xf numFmtId="9" fontId="12" fillId="0" borderId="1" xfId="3" applyFont="1" applyFill="1" applyBorder="1" applyAlignment="1">
      <alignment horizontal="center" vertical="top" wrapText="1"/>
    </xf>
    <xf numFmtId="165" fontId="19" fillId="0" borderId="1" xfId="2" applyNumberFormat="1" applyFont="1" applyBorder="1" applyAlignment="1">
      <alignment horizontal="center" vertical="top"/>
    </xf>
    <xf numFmtId="165" fontId="19" fillId="0" borderId="1" xfId="2" applyNumberFormat="1" applyFont="1" applyBorder="1" applyAlignment="1">
      <alignment vertical="top"/>
    </xf>
    <xf numFmtId="0" fontId="19" fillId="0" borderId="0" xfId="0" applyFont="1" applyAlignment="1">
      <alignment wrapText="1"/>
    </xf>
    <xf numFmtId="164" fontId="19" fillId="0" borderId="1" xfId="0" applyNumberFormat="1" applyFont="1" applyBorder="1"/>
    <xf numFmtId="0" fontId="0" fillId="0" borderId="0" xfId="0" quotePrefix="1" applyAlignment="1">
      <alignment wrapText="1"/>
    </xf>
    <xf numFmtId="165" fontId="12" fillId="0" borderId="0" xfId="2" quotePrefix="1" applyNumberFormat="1" applyFont="1" applyFill="1" applyBorder="1" applyAlignment="1">
      <alignment horizontal="right" wrapText="1"/>
    </xf>
    <xf numFmtId="165" fontId="12" fillId="0" borderId="0" xfId="2" quotePrefix="1" applyNumberFormat="1" applyFont="1" applyFill="1" applyBorder="1" applyAlignment="1">
      <alignment horizontal="right" vertical="top" wrapText="1"/>
    </xf>
    <xf numFmtId="165" fontId="19" fillId="0" borderId="0" xfId="2" applyNumberFormat="1" applyFont="1" applyFill="1" applyBorder="1"/>
    <xf numFmtId="0" fontId="12" fillId="0" borderId="1" xfId="0" quotePrefix="1" applyFont="1" applyBorder="1" applyAlignment="1">
      <alignment vertical="top" wrapText="1"/>
    </xf>
    <xf numFmtId="165" fontId="19" fillId="0" borderId="0" xfId="2" applyNumberFormat="1" applyFont="1" applyFill="1"/>
    <xf numFmtId="166" fontId="12" fillId="0" borderId="1" xfId="2" applyNumberFormat="1" applyFont="1" applyFill="1" applyBorder="1" applyAlignment="1">
      <alignment horizontal="right" wrapText="1"/>
    </xf>
    <xf numFmtId="166" fontId="12" fillId="0" borderId="1" xfId="2" applyNumberFormat="1" applyFont="1" applyFill="1" applyBorder="1" applyAlignment="1">
      <alignment horizontal="right" vertical="top" wrapText="1"/>
    </xf>
    <xf numFmtId="0" fontId="9" fillId="11" borderId="1" xfId="0" applyFont="1" applyFill="1" applyBorder="1" applyAlignment="1">
      <alignment vertical="top"/>
    </xf>
    <xf numFmtId="0" fontId="12" fillId="11" borderId="1" xfId="0" applyFont="1" applyFill="1" applyBorder="1" applyAlignment="1">
      <alignment horizontal="left" vertical="top" wrapText="1"/>
    </xf>
    <xf numFmtId="164" fontId="12" fillId="11" borderId="1" xfId="1" applyNumberFormat="1" applyFont="1" applyFill="1" applyBorder="1" applyAlignment="1">
      <alignment horizontal="right" wrapText="1"/>
    </xf>
    <xf numFmtId="165" fontId="12" fillId="11" borderId="1" xfId="2" applyNumberFormat="1" applyFont="1" applyFill="1" applyBorder="1" applyAlignment="1">
      <alignment horizontal="right" vertical="top" wrapText="1"/>
    </xf>
    <xf numFmtId="165" fontId="12" fillId="11" borderId="1" xfId="2" applyNumberFormat="1" applyFont="1" applyFill="1" applyBorder="1" applyAlignment="1">
      <alignment vertical="top" wrapText="1"/>
    </xf>
    <xf numFmtId="9" fontId="12" fillId="11" borderId="1" xfId="3" applyFont="1" applyFill="1" applyBorder="1" applyAlignment="1">
      <alignment horizontal="right" wrapText="1"/>
    </xf>
    <xf numFmtId="165" fontId="19" fillId="11" borderId="1" xfId="2" applyNumberFormat="1" applyFont="1" applyFill="1" applyBorder="1"/>
    <xf numFmtId="165" fontId="19" fillId="0" borderId="1" xfId="2" applyNumberFormat="1" applyFont="1" applyFill="1" applyBorder="1" applyAlignment="1">
      <alignment vertical="top"/>
    </xf>
    <xf numFmtId="0" fontId="0" fillId="11" borderId="0" xfId="0" applyFill="1"/>
    <xf numFmtId="0" fontId="12" fillId="11" borderId="1" xfId="0" applyFont="1" applyFill="1" applyBorder="1" applyAlignment="1">
      <alignment vertical="top" wrapText="1"/>
    </xf>
    <xf numFmtId="164" fontId="12" fillId="11" borderId="1" xfId="1" applyNumberFormat="1" applyFont="1" applyFill="1" applyBorder="1" applyAlignment="1">
      <alignment horizontal="right" vertical="top" wrapText="1"/>
    </xf>
    <xf numFmtId="165" fontId="19" fillId="11" borderId="1" xfId="2" applyNumberFormat="1" applyFont="1" applyFill="1" applyBorder="1" applyAlignment="1">
      <alignment vertical="top"/>
    </xf>
    <xf numFmtId="0" fontId="12" fillId="0" borderId="12" xfId="0" applyFont="1" applyBorder="1" applyAlignment="1">
      <alignment horizontal="left" vertical="top" wrapText="1"/>
    </xf>
    <xf numFmtId="0" fontId="9" fillId="2" borderId="12" xfId="0" applyFont="1" applyFill="1" applyBorder="1"/>
    <xf numFmtId="0" fontId="9" fillId="0" borderId="12" xfId="0" applyFont="1" applyBorder="1"/>
    <xf numFmtId="164" fontId="12" fillId="0" borderId="12" xfId="1" applyNumberFormat="1" applyFont="1" applyFill="1" applyBorder="1" applyAlignment="1">
      <alignment horizontal="right" wrapText="1"/>
    </xf>
    <xf numFmtId="164" fontId="12" fillId="0" borderId="1" xfId="0" applyNumberFormat="1" applyFont="1" applyBorder="1" applyAlignment="1">
      <alignment horizontal="left" vertical="top" wrapText="1"/>
    </xf>
    <xf numFmtId="0" fontId="38" fillId="0" borderId="1" xfId="0" quotePrefix="1" applyFont="1" applyBorder="1" applyAlignment="1">
      <alignment vertical="top" wrapText="1"/>
    </xf>
    <xf numFmtId="0" fontId="12" fillId="0" borderId="0" xfId="0" applyFont="1" applyAlignment="1">
      <alignment wrapText="1"/>
    </xf>
    <xf numFmtId="0" fontId="10" fillId="0" borderId="1" xfId="0" applyFont="1" applyBorder="1" applyAlignment="1">
      <alignment vertical="top"/>
    </xf>
    <xf numFmtId="0" fontId="12" fillId="0" borderId="0" xfId="0" applyFont="1" applyAlignment="1">
      <alignment vertical="top" wrapText="1"/>
    </xf>
    <xf numFmtId="0" fontId="12" fillId="0" borderId="11" xfId="0" applyFont="1" applyBorder="1" applyAlignment="1">
      <alignment horizontal="left" vertical="top" wrapText="1"/>
    </xf>
    <xf numFmtId="0" fontId="39" fillId="0" borderId="0" xfId="0" applyFont="1"/>
    <xf numFmtId="0" fontId="39" fillId="0" borderId="0" xfId="0" applyFont="1" applyAlignment="1">
      <alignment wrapText="1"/>
    </xf>
    <xf numFmtId="0" fontId="39" fillId="0" borderId="1" xfId="0" applyFont="1" applyBorder="1"/>
    <xf numFmtId="0" fontId="39" fillId="0" borderId="1" xfId="0" applyFont="1" applyBorder="1" applyAlignment="1">
      <alignment wrapText="1"/>
    </xf>
    <xf numFmtId="165" fontId="39" fillId="0" borderId="1" xfId="2" applyNumberFormat="1" applyFont="1" applyBorder="1"/>
    <xf numFmtId="10" fontId="39" fillId="0" borderId="1" xfId="3" applyNumberFormat="1" applyFont="1" applyBorder="1"/>
    <xf numFmtId="9" fontId="39" fillId="0" borderId="1" xfId="3" applyFont="1" applyBorder="1"/>
    <xf numFmtId="0" fontId="40" fillId="0" borderId="1" xfId="0" applyFont="1" applyBorder="1"/>
    <xf numFmtId="0" fontId="40" fillId="0" borderId="0" xfId="0" applyFont="1"/>
    <xf numFmtId="0" fontId="9" fillId="0" borderId="0" xfId="0" applyFont="1" applyAlignment="1">
      <alignment horizontal="center"/>
    </xf>
    <xf numFmtId="0" fontId="9" fillId="0" borderId="1" xfId="0" applyFont="1" applyBorder="1" applyAlignment="1">
      <alignment horizontal="center"/>
    </xf>
    <xf numFmtId="0" fontId="10" fillId="0" borderId="0" xfId="0" applyFont="1" applyAlignment="1">
      <alignment vertical="top"/>
    </xf>
    <xf numFmtId="0" fontId="41" fillId="0" borderId="0" xfId="0" applyFont="1"/>
    <xf numFmtId="164" fontId="10" fillId="0" borderId="0" xfId="0" applyNumberFormat="1" applyFont="1"/>
    <xf numFmtId="0" fontId="13" fillId="4" borderId="1" xfId="0" applyFont="1" applyFill="1" applyBorder="1" applyAlignment="1">
      <alignment horizontal="left" vertical="top"/>
    </xf>
    <xf numFmtId="0" fontId="9" fillId="0" borderId="0" xfId="0" applyFont="1" applyAlignment="1">
      <alignment horizontal="center"/>
    </xf>
    <xf numFmtId="0" fontId="9" fillId="0" borderId="3" xfId="0" applyFont="1" applyBorder="1" applyAlignment="1">
      <alignment horizontal="center"/>
    </xf>
    <xf numFmtId="0" fontId="9" fillId="0" borderId="1" xfId="0" applyFont="1" applyBorder="1" applyAlignment="1">
      <alignment horizontal="center"/>
    </xf>
    <xf numFmtId="0" fontId="9" fillId="0" borderId="1" xfId="0" applyFont="1" applyBorder="1" applyAlignment="1">
      <alignment horizontal="left"/>
    </xf>
    <xf numFmtId="0" fontId="9" fillId="0" borderId="1" xfId="0" applyFont="1" applyBorder="1" applyAlignment="1"/>
    <xf numFmtId="0" fontId="9" fillId="0" borderId="9" xfId="0" applyFont="1" applyBorder="1" applyAlignment="1">
      <alignment horizontal="center" wrapText="1"/>
    </xf>
    <xf numFmtId="0" fontId="9" fillId="0" borderId="10" xfId="0" applyFont="1" applyBorder="1" applyAlignment="1">
      <alignment horizontal="center" wrapText="1"/>
    </xf>
    <xf numFmtId="0" fontId="9" fillId="0" borderId="7" xfId="0" applyFont="1" applyBorder="1" applyAlignment="1">
      <alignment horizontal="center"/>
    </xf>
    <xf numFmtId="0" fontId="9" fillId="0" borderId="8" xfId="0" applyFont="1" applyBorder="1" applyAlignment="1">
      <alignment horizontal="center"/>
    </xf>
    <xf numFmtId="0" fontId="9" fillId="0" borderId="10" xfId="0" applyFont="1" applyBorder="1" applyAlignment="1">
      <alignment horizontal="center"/>
    </xf>
    <xf numFmtId="0" fontId="9" fillId="0" borderId="1" xfId="0" applyFont="1" applyBorder="1" applyAlignment="1">
      <alignment horizontal="center" wrapText="1"/>
    </xf>
    <xf numFmtId="0" fontId="9" fillId="0" borderId="9" xfId="0" applyFont="1" applyBorder="1" applyAlignment="1">
      <alignment horizontal="center"/>
    </xf>
    <xf numFmtId="0" fontId="13" fillId="4" borderId="11" xfId="0" applyFont="1" applyFill="1" applyBorder="1" applyAlignment="1">
      <alignment horizontal="left" vertical="top"/>
    </xf>
    <xf numFmtId="0" fontId="13" fillId="4" borderId="12" xfId="0" applyFont="1" applyFill="1" applyBorder="1" applyAlignment="1">
      <alignment horizontal="left" vertical="top"/>
    </xf>
    <xf numFmtId="0" fontId="13" fillId="4" borderId="13" xfId="0" applyFont="1" applyFill="1" applyBorder="1" applyAlignment="1">
      <alignment horizontal="left" vertical="top"/>
    </xf>
    <xf numFmtId="0" fontId="13" fillId="4" borderId="11" xfId="0" applyFont="1" applyFill="1" applyBorder="1" applyAlignment="1">
      <alignment horizontal="left"/>
    </xf>
    <xf numFmtId="0" fontId="13" fillId="4" borderId="12" xfId="0" applyFont="1" applyFill="1" applyBorder="1" applyAlignment="1">
      <alignment horizontal="left"/>
    </xf>
    <xf numFmtId="0" fontId="13" fillId="4" borderId="13" xfId="0" applyFont="1" applyFill="1" applyBorder="1" applyAlignment="1">
      <alignment horizontal="left"/>
    </xf>
    <xf numFmtId="0" fontId="11" fillId="3" borderId="11" xfId="0" applyFont="1" applyFill="1" applyBorder="1" applyAlignment="1">
      <alignment horizontal="left"/>
    </xf>
    <xf numFmtId="0" fontId="11" fillId="3" borderId="12" xfId="0" applyFont="1" applyFill="1" applyBorder="1" applyAlignment="1">
      <alignment horizontal="left"/>
    </xf>
    <xf numFmtId="0" fontId="11" fillId="3" borderId="13" xfId="0" applyFont="1" applyFill="1" applyBorder="1" applyAlignment="1">
      <alignment horizontal="left"/>
    </xf>
    <xf numFmtId="0" fontId="11" fillId="3" borderId="11" xfId="0" applyFont="1" applyFill="1" applyBorder="1" applyAlignment="1">
      <alignment horizontal="left" vertical="top"/>
    </xf>
    <xf numFmtId="0" fontId="11" fillId="3" borderId="12" xfId="0" applyFont="1" applyFill="1" applyBorder="1" applyAlignment="1">
      <alignment horizontal="left" vertical="top"/>
    </xf>
    <xf numFmtId="0" fontId="11" fillId="3" borderId="13" xfId="0" applyFont="1" applyFill="1" applyBorder="1" applyAlignment="1">
      <alignment horizontal="left" vertical="top"/>
    </xf>
    <xf numFmtId="0" fontId="11" fillId="0" borderId="1" xfId="0" applyFont="1" applyBorder="1" applyAlignment="1">
      <alignment horizontal="center"/>
    </xf>
    <xf numFmtId="0" fontId="11" fillId="3" borderId="1" xfId="0" applyFont="1" applyFill="1" applyBorder="1" applyAlignment="1">
      <alignment horizontal="left"/>
    </xf>
    <xf numFmtId="0" fontId="11" fillId="3" borderId="1" xfId="0" applyFont="1" applyFill="1" applyBorder="1" applyAlignment="1">
      <alignment horizontal="left" vertical="top"/>
    </xf>
    <xf numFmtId="0" fontId="0" fillId="0" borderId="0" xfId="0" applyAlignment="1">
      <alignment horizontal="center"/>
    </xf>
    <xf numFmtId="0" fontId="0" fillId="0" borderId="0" xfId="0" applyAlignment="1">
      <alignment horizontal="center" vertical="center"/>
    </xf>
  </cellXfs>
  <cellStyles count="4">
    <cellStyle name="Milliers" xfId="2" builtinId="3"/>
    <cellStyle name="Monétaire" xfId="1" builtinId="4"/>
    <cellStyle name="Normal" xfId="0" builtinId="0"/>
    <cellStyle name="Pourcentage" xfId="3" builtinId="5"/>
  </cellStyles>
  <dxfs count="0"/>
  <tableStyles count="0" defaultTableStyle="TableStyleMedium2" defaultPivotStyle="PivotStyleLight16"/>
  <colors>
    <mruColors>
      <color rgb="FF009F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2.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17.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9"/>
  <sheetViews>
    <sheetView workbookViewId="0">
      <selection activeCell="J10" sqref="J10"/>
    </sheetView>
  </sheetViews>
  <sheetFormatPr baseColWidth="10" defaultColWidth="11.42578125" defaultRowHeight="15" x14ac:dyDescent="0.25"/>
  <cols>
    <col min="1" max="1" width="11.42578125" style="220"/>
    <col min="2" max="2" width="31.42578125" style="221" customWidth="1"/>
    <col min="3" max="3" width="17.85546875" style="220" customWidth="1"/>
    <col min="4" max="4" width="18.42578125" style="220" customWidth="1"/>
    <col min="5" max="16384" width="11.42578125" style="220"/>
  </cols>
  <sheetData>
    <row r="2" spans="1:5" x14ac:dyDescent="0.25">
      <c r="B2" s="221" t="s">
        <v>0</v>
      </c>
      <c r="D2" s="220">
        <v>500</v>
      </c>
    </row>
    <row r="3" spans="1:5" s="228" customFormat="1" ht="14.25" x14ac:dyDescent="0.2">
      <c r="A3" s="227"/>
      <c r="B3" s="227" t="s">
        <v>1</v>
      </c>
      <c r="C3" s="227" t="s">
        <v>2</v>
      </c>
      <c r="D3" s="227" t="s">
        <v>3</v>
      </c>
      <c r="E3" s="227"/>
    </row>
    <row r="4" spans="1:5" ht="30" x14ac:dyDescent="0.25">
      <c r="A4" s="222">
        <v>1</v>
      </c>
      <c r="B4" s="223" t="s">
        <v>4</v>
      </c>
      <c r="C4" s="224">
        <f>SUM('PTBA 2022'!X10:X27,'PTBA 2022'!X29:X30,'PTBA 2022'!X32:X33,'PTBA 2022'!X35)</f>
        <v>344432</v>
      </c>
      <c r="D4" s="224">
        <f t="shared" ref="D4:D9" si="0">+C4*$D$2</f>
        <v>172216000</v>
      </c>
      <c r="E4" s="225">
        <f t="shared" ref="E4:E9" si="1">+C4/$C$9</f>
        <v>0.22580478092612005</v>
      </c>
    </row>
    <row r="5" spans="1:5" ht="45" x14ac:dyDescent="0.25">
      <c r="A5" s="222">
        <v>2</v>
      </c>
      <c r="B5" s="223" t="s">
        <v>5</v>
      </c>
      <c r="C5" s="224">
        <f>SUM('PTBA 2022'!X38:X41,'PTBA 2022'!X43:X46,'PTBA 2022'!X48)</f>
        <v>240140</v>
      </c>
      <c r="D5" s="224">
        <f t="shared" si="0"/>
        <v>120070000</v>
      </c>
      <c r="E5" s="225">
        <f t="shared" si="1"/>
        <v>0.15743241072722183</v>
      </c>
    </row>
    <row r="6" spans="1:5" ht="30" x14ac:dyDescent="0.25">
      <c r="A6" s="222">
        <v>3</v>
      </c>
      <c r="B6" s="223" t="s">
        <v>6</v>
      </c>
      <c r="C6" s="224">
        <f>SUM('PTBA 2022'!X51:X55,'PTBA 2022'!X57:X58,'PTBA 2022'!X60:X64,'PTBA 2022'!X66:X67,'PTBA 2022'!X68,'PTBA 2022'!X69:X71,'PTBA 2022'!X72,'PTBA 2022'!X74:X79)</f>
        <v>488605</v>
      </c>
      <c r="D6" s="224">
        <f t="shared" si="0"/>
        <v>244302500</v>
      </c>
      <c r="E6" s="225">
        <f t="shared" si="1"/>
        <v>0.32032257451226043</v>
      </c>
    </row>
    <row r="7" spans="1:5" ht="30" x14ac:dyDescent="0.25">
      <c r="A7" s="222">
        <v>4</v>
      </c>
      <c r="B7" s="223" t="s">
        <v>7</v>
      </c>
      <c r="C7" s="224">
        <f>SUM('PTBA 2022'!X82:X90,'PTBA 2022'!X92:X93,'PTBA 2022'!X95:X97,'PTBA 2022'!X99)</f>
        <v>306166</v>
      </c>
      <c r="D7" s="224">
        <f t="shared" si="0"/>
        <v>153083000</v>
      </c>
      <c r="E7" s="225">
        <f t="shared" si="1"/>
        <v>0.20071812885279669</v>
      </c>
    </row>
    <row r="8" spans="1:5" ht="60" x14ac:dyDescent="0.25">
      <c r="A8" s="222">
        <v>5</v>
      </c>
      <c r="B8" s="223" t="s">
        <v>8</v>
      </c>
      <c r="C8" s="224">
        <f>SUM('PTBA 2022'!X102:X105,'PTBA 2022'!X107:X110)</f>
        <v>146010</v>
      </c>
      <c r="D8" s="224">
        <f t="shared" si="0"/>
        <v>73005000</v>
      </c>
      <c r="E8" s="225">
        <f t="shared" si="1"/>
        <v>9.5722104981600983E-2</v>
      </c>
    </row>
    <row r="9" spans="1:5" x14ac:dyDescent="0.25">
      <c r="A9" s="222"/>
      <c r="B9" s="223" t="s">
        <v>9</v>
      </c>
      <c r="C9" s="224">
        <f>SUM(C4:C8)</f>
        <v>1525353</v>
      </c>
      <c r="D9" s="224">
        <f t="shared" si="0"/>
        <v>762676500</v>
      </c>
      <c r="E9" s="226">
        <f t="shared" si="1"/>
        <v>1</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
  <sheetViews>
    <sheetView workbookViewId="0"/>
  </sheetViews>
  <sheetFormatPr baseColWidth="10" defaultColWidth="11.42578125" defaultRowHeight="15" x14ac:dyDescent="0.25"/>
  <cols>
    <col min="2" max="2" width="39.5703125" customWidth="1"/>
    <col min="3" max="3" width="20" customWidth="1"/>
    <col min="4" max="4" width="17" customWidth="1"/>
  </cols>
  <sheetData>
    <row r="1" spans="1:31" x14ac:dyDescent="0.25">
      <c r="B1" t="s">
        <v>431</v>
      </c>
    </row>
    <row r="3" spans="1:31" ht="16.5" x14ac:dyDescent="0.3">
      <c r="A3" s="60"/>
      <c r="B3" s="60"/>
      <c r="C3" s="86" t="s">
        <v>379</v>
      </c>
      <c r="D3" s="86" t="s">
        <v>380</v>
      </c>
      <c r="E3" s="86" t="s">
        <v>381</v>
      </c>
    </row>
    <row r="4" spans="1:31" ht="37.5" x14ac:dyDescent="0.3">
      <c r="A4" s="87" t="s">
        <v>432</v>
      </c>
      <c r="B4" s="88" t="s">
        <v>433</v>
      </c>
      <c r="C4" s="127">
        <f>+'C2A'!I9</f>
        <v>15500</v>
      </c>
      <c r="D4" s="28"/>
      <c r="E4" s="28"/>
      <c r="F4" s="22"/>
      <c r="G4" s="18"/>
      <c r="H4" s="18"/>
      <c r="I4" s="18"/>
      <c r="J4" s="18"/>
      <c r="K4" s="18"/>
      <c r="L4" s="18"/>
      <c r="M4" s="18"/>
      <c r="N4" s="18"/>
      <c r="O4" s="18"/>
      <c r="P4" s="18"/>
      <c r="Q4" s="18"/>
      <c r="R4" s="18"/>
      <c r="S4" s="18"/>
      <c r="T4" s="18"/>
      <c r="U4" s="18"/>
      <c r="V4" s="18"/>
      <c r="W4" s="18"/>
      <c r="X4" s="18"/>
      <c r="Y4" s="18"/>
      <c r="Z4" s="18"/>
      <c r="AA4" s="18"/>
      <c r="AB4" s="18"/>
      <c r="AC4" s="18"/>
      <c r="AD4" s="18"/>
      <c r="AE4" s="18"/>
    </row>
    <row r="5" spans="1:31" ht="37.5" x14ac:dyDescent="0.3">
      <c r="A5" s="87" t="s">
        <v>434</v>
      </c>
      <c r="B5" s="88" t="s">
        <v>435</v>
      </c>
      <c r="C5" s="127">
        <f>+'C2B'!I8</f>
        <v>167140</v>
      </c>
      <c r="D5" s="28"/>
      <c r="E5" s="28"/>
      <c r="F5" s="22"/>
      <c r="G5" s="18"/>
      <c r="H5" s="18"/>
      <c r="I5" s="18"/>
      <c r="J5" s="18"/>
      <c r="K5" s="18"/>
      <c r="L5" s="18"/>
      <c r="M5" s="18"/>
      <c r="N5" s="18"/>
      <c r="O5" s="18"/>
      <c r="P5" s="18"/>
      <c r="Q5" s="18"/>
      <c r="R5" s="18"/>
      <c r="S5" s="18"/>
      <c r="T5" s="18"/>
      <c r="U5" s="18"/>
      <c r="V5" s="18"/>
      <c r="W5" s="18"/>
      <c r="X5" s="18"/>
      <c r="Y5" s="18"/>
      <c r="Z5" s="18"/>
      <c r="AA5" s="18"/>
      <c r="AB5" s="18"/>
      <c r="AC5" s="18"/>
      <c r="AD5" s="18"/>
      <c r="AE5" s="18"/>
    </row>
    <row r="6" spans="1:31" ht="18.75" x14ac:dyDescent="0.3">
      <c r="A6" s="87" t="s">
        <v>436</v>
      </c>
      <c r="B6" s="88" t="s">
        <v>437</v>
      </c>
      <c r="C6" s="127">
        <f>+'C2C'!J6</f>
        <v>20000</v>
      </c>
      <c r="D6" s="28"/>
      <c r="E6" s="28"/>
      <c r="F6" s="22"/>
      <c r="G6" s="18"/>
      <c r="H6" s="18"/>
      <c r="I6" s="18"/>
      <c r="J6" s="18"/>
      <c r="K6" s="18"/>
      <c r="L6" s="18"/>
      <c r="M6" s="18"/>
      <c r="N6" s="18"/>
      <c r="O6" s="18"/>
      <c r="P6" s="18"/>
      <c r="Q6" s="18"/>
      <c r="R6" s="18"/>
      <c r="S6" s="18"/>
      <c r="T6" s="18"/>
      <c r="U6" s="18"/>
      <c r="V6" s="18"/>
      <c r="W6" s="18"/>
      <c r="X6" s="18"/>
      <c r="Y6" s="18"/>
      <c r="Z6" s="18"/>
      <c r="AA6" s="18"/>
      <c r="AB6" s="18"/>
      <c r="AC6" s="18"/>
      <c r="AD6" s="18"/>
      <c r="AE6" s="18"/>
    </row>
    <row r="7" spans="1:31" ht="18.75" x14ac:dyDescent="0.3">
      <c r="A7" s="98"/>
      <c r="B7" s="98" t="s">
        <v>9</v>
      </c>
      <c r="C7" s="155">
        <f>SUM(C4:C6)</f>
        <v>202640</v>
      </c>
      <c r="D7" s="98"/>
      <c r="E7" s="60"/>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G9"/>
  <sheetViews>
    <sheetView workbookViewId="0"/>
  </sheetViews>
  <sheetFormatPr baseColWidth="10" defaultColWidth="11.42578125" defaultRowHeight="15" x14ac:dyDescent="0.25"/>
  <cols>
    <col min="1" max="1" width="4.42578125" customWidth="1"/>
    <col min="2" max="2" width="28.42578125" customWidth="1"/>
    <col min="3" max="3" width="24.42578125" style="61" customWidth="1"/>
    <col min="6" max="6" width="14.140625" customWidth="1"/>
    <col min="7" max="7" width="0.140625" customWidth="1"/>
    <col min="9" max="11" width="15.140625" customWidth="1"/>
    <col min="12" max="12" width="14.42578125" bestFit="1" customWidth="1"/>
  </cols>
  <sheetData>
    <row r="2" spans="1:33" x14ac:dyDescent="0.25">
      <c r="B2" t="s">
        <v>438</v>
      </c>
    </row>
    <row r="4" spans="1:33" x14ac:dyDescent="0.25">
      <c r="A4" s="60"/>
      <c r="B4" s="60" t="s">
        <v>391</v>
      </c>
      <c r="C4" s="73" t="s">
        <v>392</v>
      </c>
      <c r="D4" s="60" t="s">
        <v>393</v>
      </c>
      <c r="E4" s="60"/>
      <c r="F4" s="60" t="s">
        <v>394</v>
      </c>
      <c r="G4" s="60" t="s">
        <v>395</v>
      </c>
      <c r="H4" s="60" t="s">
        <v>396</v>
      </c>
      <c r="I4" s="99" t="s">
        <v>424</v>
      </c>
      <c r="J4" s="156" t="s">
        <v>439</v>
      </c>
      <c r="K4" s="156" t="s">
        <v>440</v>
      </c>
    </row>
    <row r="5" spans="1:33" ht="51" x14ac:dyDescent="0.25">
      <c r="A5" s="60">
        <v>1</v>
      </c>
      <c r="B5" s="31" t="s">
        <v>130</v>
      </c>
      <c r="C5" s="31" t="s">
        <v>441</v>
      </c>
      <c r="D5" s="31" t="s">
        <v>133</v>
      </c>
      <c r="E5" s="37">
        <v>5000</v>
      </c>
      <c r="F5" s="70">
        <f>E5*500</f>
        <v>2500000</v>
      </c>
      <c r="G5" s="70"/>
      <c r="H5" s="65">
        <f>+G5/F5</f>
        <v>0</v>
      </c>
      <c r="I5" s="158">
        <v>2500</v>
      </c>
      <c r="J5" s="157"/>
      <c r="K5" s="157"/>
      <c r="L5" s="2">
        <f>+I5*500</f>
        <v>1250000</v>
      </c>
    </row>
    <row r="6" spans="1:33" ht="127.5" x14ac:dyDescent="0.25">
      <c r="A6" s="73">
        <v>2</v>
      </c>
      <c r="B6" s="31" t="s">
        <v>135</v>
      </c>
      <c r="C6" s="31" t="s">
        <v>442</v>
      </c>
      <c r="D6" s="31" t="s">
        <v>133</v>
      </c>
      <c r="E6" s="37">
        <v>5000</v>
      </c>
      <c r="F6" s="70">
        <f>E6*500</f>
        <v>2500000</v>
      </c>
      <c r="G6" s="70"/>
      <c r="H6" s="65">
        <f>+G6/F6</f>
        <v>0</v>
      </c>
      <c r="I6" s="158">
        <v>2500</v>
      </c>
      <c r="J6" s="157"/>
      <c r="K6" s="157"/>
      <c r="L6" s="2">
        <f>+I6*500</f>
        <v>1250000</v>
      </c>
      <c r="M6" s="58"/>
      <c r="N6" s="58"/>
      <c r="O6" s="58"/>
      <c r="P6" s="58"/>
      <c r="Q6" s="58"/>
      <c r="R6" s="58"/>
      <c r="S6" s="58"/>
      <c r="T6" s="58"/>
      <c r="U6" s="58"/>
      <c r="V6" s="58"/>
      <c r="W6" s="58"/>
      <c r="X6" s="58"/>
      <c r="Y6" s="58"/>
      <c r="Z6" s="58"/>
      <c r="AA6" s="58"/>
      <c r="AB6" s="58"/>
      <c r="AC6" s="58"/>
      <c r="AD6" s="58"/>
      <c r="AE6" s="58"/>
      <c r="AF6" s="58"/>
      <c r="AG6" s="58"/>
    </row>
    <row r="7" spans="1:33" ht="102" x14ac:dyDescent="0.25">
      <c r="A7" s="73">
        <v>3</v>
      </c>
      <c r="B7" s="31" t="s">
        <v>137</v>
      </c>
      <c r="C7" s="31" t="s">
        <v>138</v>
      </c>
      <c r="D7" s="31" t="s">
        <v>133</v>
      </c>
      <c r="E7" s="37">
        <v>7500</v>
      </c>
      <c r="F7" s="70">
        <f>E7*500</f>
        <v>3750000</v>
      </c>
      <c r="G7" s="70"/>
      <c r="H7" s="65">
        <f>+G7/F7</f>
        <v>0</v>
      </c>
      <c r="I7" s="158">
        <v>7500</v>
      </c>
      <c r="J7" s="157"/>
      <c r="K7" s="157"/>
      <c r="L7" s="2">
        <f>+I7*500</f>
        <v>3750000</v>
      </c>
      <c r="M7" s="58"/>
      <c r="N7" s="58"/>
      <c r="O7" s="58"/>
      <c r="P7" s="58"/>
      <c r="Q7" s="58"/>
      <c r="R7" s="58"/>
      <c r="S7" s="58"/>
      <c r="T7" s="58"/>
      <c r="U7" s="58"/>
      <c r="V7" s="58"/>
      <c r="W7" s="58"/>
      <c r="X7" s="58"/>
      <c r="Y7" s="58"/>
      <c r="Z7" s="58"/>
      <c r="AA7" s="58"/>
      <c r="AB7" s="58"/>
      <c r="AC7" s="58"/>
      <c r="AD7" s="58"/>
      <c r="AE7" s="58"/>
      <c r="AF7" s="58"/>
      <c r="AG7" s="58"/>
    </row>
    <row r="8" spans="1:33" ht="89.25" x14ac:dyDescent="0.25">
      <c r="A8" s="73">
        <v>4</v>
      </c>
      <c r="B8" s="31" t="s">
        <v>139</v>
      </c>
      <c r="C8" s="31" t="s">
        <v>140</v>
      </c>
      <c r="D8" s="31" t="s">
        <v>141</v>
      </c>
      <c r="E8" s="33">
        <v>7500</v>
      </c>
      <c r="F8" s="70">
        <f>E8*500</f>
        <v>3750000</v>
      </c>
      <c r="G8" s="70">
        <v>910200</v>
      </c>
      <c r="H8" s="65">
        <f>+G8/F8</f>
        <v>0.24271999999999999</v>
      </c>
      <c r="I8" s="158">
        <v>5500</v>
      </c>
      <c r="J8" s="157"/>
      <c r="K8" s="157"/>
      <c r="L8" s="2">
        <f>+I8*500</f>
        <v>2750000</v>
      </c>
      <c r="M8" s="58"/>
      <c r="N8" s="58">
        <f>+L8/500</f>
        <v>5500</v>
      </c>
      <c r="O8" s="58">
        <v>55</v>
      </c>
      <c r="P8" s="58"/>
      <c r="Q8" s="58"/>
      <c r="R8" s="58"/>
      <c r="S8" s="58"/>
      <c r="T8" s="58"/>
      <c r="U8" s="58"/>
      <c r="V8" s="58"/>
      <c r="W8" s="58"/>
      <c r="X8" s="58"/>
      <c r="Y8" s="58"/>
      <c r="Z8" s="58"/>
      <c r="AA8" s="58"/>
      <c r="AB8" s="58"/>
      <c r="AC8" s="58"/>
      <c r="AD8" s="58"/>
      <c r="AE8" s="58"/>
      <c r="AF8" s="58"/>
      <c r="AG8" s="58"/>
    </row>
    <row r="9" spans="1:33" x14ac:dyDescent="0.25">
      <c r="A9" s="60"/>
      <c r="B9" s="60"/>
      <c r="C9" s="73"/>
      <c r="D9" s="60"/>
      <c r="E9" s="74"/>
      <c r="F9" s="75"/>
      <c r="G9" s="75"/>
      <c r="H9" s="76"/>
      <c r="I9" s="99">
        <f>SUM(I6:I8)</f>
        <v>15500</v>
      </c>
      <c r="J9" s="156"/>
      <c r="K9" s="156"/>
      <c r="L9" s="2">
        <f>+I9*500</f>
        <v>7750000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F8"/>
  <sheetViews>
    <sheetView workbookViewId="0"/>
  </sheetViews>
  <sheetFormatPr baseColWidth="10" defaultColWidth="11.42578125" defaultRowHeight="15" x14ac:dyDescent="0.25"/>
  <cols>
    <col min="1" max="1" width="5.140625" customWidth="1"/>
    <col min="2" max="2" width="28.42578125" customWidth="1"/>
    <col min="3" max="3" width="21.42578125" style="61" customWidth="1"/>
    <col min="4" max="4" width="15" customWidth="1"/>
    <col min="6" max="6" width="15.42578125" customWidth="1"/>
    <col min="7" max="7" width="0.42578125" hidden="1" customWidth="1"/>
    <col min="9" max="9" width="25.85546875" style="2" customWidth="1"/>
    <col min="10" max="11" width="17" customWidth="1"/>
    <col min="12" max="12" width="13.5703125" customWidth="1"/>
    <col min="13" max="13" width="13" bestFit="1" customWidth="1"/>
    <col min="14" max="14" width="15.42578125" bestFit="1" customWidth="1"/>
  </cols>
  <sheetData>
    <row r="2" spans="1:32" x14ac:dyDescent="0.25">
      <c r="B2" t="s">
        <v>142</v>
      </c>
    </row>
    <row r="4" spans="1:32" x14ac:dyDescent="0.25">
      <c r="B4" s="68" t="s">
        <v>391</v>
      </c>
      <c r="C4" s="159" t="s">
        <v>392</v>
      </c>
      <c r="D4" s="68" t="s">
        <v>393</v>
      </c>
      <c r="E4" s="68"/>
      <c r="F4" s="68" t="s">
        <v>394</v>
      </c>
      <c r="G4" s="68" t="s">
        <v>395</v>
      </c>
      <c r="H4" s="68" t="s">
        <v>396</v>
      </c>
      <c r="I4" s="96" t="s">
        <v>424</v>
      </c>
      <c r="J4" s="145" t="s">
        <v>439</v>
      </c>
      <c r="K4" s="107" t="s">
        <v>440</v>
      </c>
    </row>
    <row r="5" spans="1:32" ht="102" x14ac:dyDescent="0.25">
      <c r="A5">
        <v>1</v>
      </c>
      <c r="B5" s="39" t="s">
        <v>143</v>
      </c>
      <c r="C5" s="39" t="s">
        <v>443</v>
      </c>
      <c r="D5" s="39" t="s">
        <v>146</v>
      </c>
      <c r="E5" s="37">
        <v>10000</v>
      </c>
      <c r="F5" s="70">
        <f>E5*500</f>
        <v>5000000</v>
      </c>
      <c r="G5" s="70">
        <v>2419023</v>
      </c>
      <c r="H5" s="69">
        <f>+G5/F5</f>
        <v>0.48380459999999997</v>
      </c>
      <c r="I5" s="96">
        <f>+(1000000*3+500000*2+20000*7*7+24*10000*7)/500</f>
        <v>13320</v>
      </c>
    </row>
    <row r="6" spans="1:32" ht="102" x14ac:dyDescent="0.25">
      <c r="A6" s="61">
        <f>+A5+1</f>
        <v>2</v>
      </c>
      <c r="B6" s="39" t="s">
        <v>147</v>
      </c>
      <c r="C6" s="72" t="s">
        <v>444</v>
      </c>
      <c r="D6" s="72" t="s">
        <v>149</v>
      </c>
      <c r="E6" s="37">
        <v>63492</v>
      </c>
      <c r="F6" s="70">
        <f>E6*500</f>
        <v>31746000</v>
      </c>
      <c r="G6" s="70">
        <v>49195810</v>
      </c>
      <c r="H6" s="69">
        <f>+G6/F6</f>
        <v>1.5496695646695646</v>
      </c>
      <c r="I6" s="97">
        <v>79310</v>
      </c>
      <c r="J6" s="58"/>
      <c r="K6" s="58"/>
      <c r="L6" s="95">
        <f>11*(755000+45000*12+20000*12+10000+100000)+22*(180000+45000*12+12500*12+10000+100000)</f>
        <v>39655000</v>
      </c>
      <c r="M6" s="95">
        <f>+L6/500</f>
        <v>79310</v>
      </c>
      <c r="O6" s="58"/>
      <c r="P6" s="58"/>
      <c r="Q6" s="58"/>
      <c r="R6" s="58"/>
      <c r="S6" s="58"/>
      <c r="T6" s="58"/>
      <c r="U6" s="58"/>
      <c r="V6" s="58"/>
      <c r="W6" s="58"/>
      <c r="X6" s="58"/>
      <c r="Y6" s="58"/>
      <c r="Z6" s="58"/>
      <c r="AA6" s="58"/>
      <c r="AB6" s="58"/>
      <c r="AC6" s="58"/>
      <c r="AD6" s="58"/>
      <c r="AE6" s="58"/>
      <c r="AF6" s="58"/>
    </row>
    <row r="7" spans="1:32" ht="102" x14ac:dyDescent="0.25">
      <c r="A7" s="61">
        <f>+A6+1</f>
        <v>3</v>
      </c>
      <c r="B7" s="39" t="s">
        <v>151</v>
      </c>
      <c r="C7" s="72" t="s">
        <v>445</v>
      </c>
      <c r="D7" s="72" t="s">
        <v>153</v>
      </c>
      <c r="E7" s="33">
        <v>41136</v>
      </c>
      <c r="F7" s="70">
        <f>E7*500</f>
        <v>20568000</v>
      </c>
      <c r="G7" s="70">
        <v>38260421</v>
      </c>
      <c r="H7" s="69">
        <f>+G7/F7</f>
        <v>1.8601916083236094</v>
      </c>
      <c r="I7" s="97">
        <v>74510</v>
      </c>
      <c r="J7" s="58"/>
      <c r="K7" s="58"/>
      <c r="L7" s="58">
        <f>5*(955000+80000*12+20000*12+10000+10000+100000)+8*(305000+80000*12+12500*12+10000+100000)+2*(955000+80000*12+20000*12+10000+100000)+6*(305000+80000*12+12500*12+10000+100000)</f>
        <v>37255000</v>
      </c>
      <c r="M7" s="58">
        <f>+L7/500</f>
        <v>74510</v>
      </c>
      <c r="N7" s="58"/>
      <c r="O7" s="58"/>
      <c r="P7" s="58"/>
      <c r="Q7" s="58"/>
      <c r="R7" s="58"/>
      <c r="S7" s="58"/>
      <c r="T7" s="58"/>
      <c r="U7" s="58"/>
      <c r="V7" s="58"/>
      <c r="W7" s="58"/>
      <c r="X7" s="58"/>
      <c r="Y7" s="58"/>
      <c r="Z7" s="58"/>
      <c r="AA7" s="58"/>
      <c r="AB7" s="58"/>
      <c r="AC7" s="58"/>
      <c r="AD7" s="58"/>
      <c r="AE7" s="58"/>
      <c r="AF7" s="58"/>
    </row>
    <row r="8" spans="1:32" x14ac:dyDescent="0.25">
      <c r="B8" s="68" t="s">
        <v>9</v>
      </c>
      <c r="C8" s="159"/>
      <c r="D8" s="68"/>
      <c r="E8" s="68"/>
      <c r="F8" s="68"/>
      <c r="G8" s="68"/>
      <c r="H8" s="68"/>
      <c r="I8" s="96">
        <f>SUM(I5:I7)</f>
        <v>167140</v>
      </c>
    </row>
  </sheetData>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J6"/>
  <sheetViews>
    <sheetView workbookViewId="0"/>
  </sheetViews>
  <sheetFormatPr baseColWidth="10" defaultColWidth="11.42578125" defaultRowHeight="15" x14ac:dyDescent="0.25"/>
  <cols>
    <col min="1" max="1" width="7.42578125" customWidth="1"/>
    <col min="2" max="2" width="28.42578125" customWidth="1"/>
    <col min="3" max="3" width="18.5703125" customWidth="1"/>
    <col min="4" max="4" width="18.42578125" customWidth="1"/>
    <col min="7" max="7" width="13.5703125" customWidth="1"/>
    <col min="8" max="8" width="13.85546875" customWidth="1"/>
    <col min="10" max="10" width="24.5703125" style="2" customWidth="1"/>
  </cols>
  <sheetData>
    <row r="2" spans="2:10" x14ac:dyDescent="0.25">
      <c r="B2" t="s">
        <v>154</v>
      </c>
    </row>
    <row r="4" spans="2:10" x14ac:dyDescent="0.25">
      <c r="B4" s="60"/>
      <c r="C4" s="60" t="s">
        <v>391</v>
      </c>
      <c r="D4" s="60" t="s">
        <v>392</v>
      </c>
      <c r="E4" s="60" t="s">
        <v>393</v>
      </c>
      <c r="F4" s="60"/>
      <c r="G4" s="60" t="s">
        <v>394</v>
      </c>
      <c r="H4" s="60" t="s">
        <v>395</v>
      </c>
      <c r="I4" s="60" t="s">
        <v>396</v>
      </c>
      <c r="J4" s="99" t="s">
        <v>424</v>
      </c>
    </row>
    <row r="5" spans="2:10" ht="396" x14ac:dyDescent="0.25">
      <c r="B5" s="38">
        <f>+B4+1</f>
        <v>1</v>
      </c>
      <c r="C5" s="31" t="s">
        <v>446</v>
      </c>
      <c r="D5" s="41" t="s">
        <v>447</v>
      </c>
      <c r="E5" s="160" t="s">
        <v>158</v>
      </c>
      <c r="F5" s="33">
        <v>20000</v>
      </c>
      <c r="G5" s="70">
        <f>F5*500</f>
        <v>10000000</v>
      </c>
      <c r="H5" s="70">
        <v>1585881</v>
      </c>
      <c r="I5" s="65">
        <f>+H5/G5</f>
        <v>0.15858810000000001</v>
      </c>
      <c r="J5" s="99">
        <v>20000</v>
      </c>
    </row>
    <row r="6" spans="2:10" x14ac:dyDescent="0.25">
      <c r="B6" s="60" t="s">
        <v>9</v>
      </c>
      <c r="C6" s="60"/>
      <c r="D6" s="60"/>
      <c r="E6" s="60"/>
      <c r="F6" s="60"/>
      <c r="G6" s="60"/>
      <c r="H6" s="60"/>
      <c r="I6" s="60"/>
      <c r="J6" s="99">
        <f>SUM(J5)</f>
        <v>20000</v>
      </c>
    </row>
  </sheetData>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E10"/>
  <sheetViews>
    <sheetView workbookViewId="0"/>
  </sheetViews>
  <sheetFormatPr baseColWidth="10" defaultColWidth="11.42578125" defaultRowHeight="15.75" x14ac:dyDescent="0.25"/>
  <cols>
    <col min="1" max="1" width="11.42578125" style="118"/>
    <col min="2" max="2" width="33.42578125" style="119" customWidth="1"/>
    <col min="3" max="3" width="20.42578125" style="118" customWidth="1"/>
    <col min="4" max="16384" width="11.42578125" style="118"/>
  </cols>
  <sheetData>
    <row r="2" spans="1:31" ht="31.5" x14ac:dyDescent="0.25">
      <c r="A2" s="118">
        <v>3</v>
      </c>
      <c r="B2" s="119" t="s">
        <v>6</v>
      </c>
    </row>
    <row r="4" spans="1:31" ht="31.5" x14ac:dyDescent="0.25">
      <c r="A4" s="120"/>
      <c r="B4" s="121"/>
      <c r="C4" s="122"/>
      <c r="D4" s="122" t="s">
        <v>379</v>
      </c>
      <c r="E4" s="122" t="s">
        <v>380</v>
      </c>
      <c r="F4" s="122" t="s">
        <v>381</v>
      </c>
    </row>
    <row r="5" spans="1:31" ht="31.5" x14ac:dyDescent="0.25">
      <c r="A5" s="120" t="s">
        <v>448</v>
      </c>
      <c r="B5" s="115" t="s">
        <v>449</v>
      </c>
      <c r="C5" s="123">
        <f>+'C3A'!I10</f>
        <v>27200</v>
      </c>
      <c r="D5" s="123"/>
      <c r="E5" s="123"/>
      <c r="F5" s="123"/>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row>
    <row r="6" spans="1:31" ht="31.5" x14ac:dyDescent="0.25">
      <c r="A6" s="120" t="s">
        <v>450</v>
      </c>
      <c r="B6" s="115" t="s">
        <v>451</v>
      </c>
      <c r="C6" s="123">
        <f>+'C3B'!J7</f>
        <v>12000</v>
      </c>
      <c r="D6" s="123"/>
      <c r="E6" s="123"/>
      <c r="F6" s="123"/>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row>
    <row r="7" spans="1:31" x14ac:dyDescent="0.25">
      <c r="A7" s="120" t="s">
        <v>452</v>
      </c>
      <c r="B7" s="116" t="s">
        <v>453</v>
      </c>
      <c r="C7" s="125">
        <f>+'C3C'!J11</f>
        <v>139795</v>
      </c>
      <c r="D7" s="125"/>
      <c r="E7" s="125"/>
      <c r="F7" s="125"/>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row>
    <row r="8" spans="1:31" ht="31.5" x14ac:dyDescent="0.25">
      <c r="A8" s="120" t="s">
        <v>454</v>
      </c>
      <c r="B8" s="117" t="s">
        <v>455</v>
      </c>
      <c r="C8" s="125">
        <f>+'C3D'!J12</f>
        <v>20000</v>
      </c>
      <c r="D8" s="125"/>
      <c r="E8" s="125"/>
      <c r="F8" s="125"/>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row>
    <row r="9" spans="1:31" x14ac:dyDescent="0.25">
      <c r="A9" s="120" t="s">
        <v>456</v>
      </c>
      <c r="B9" s="117" t="s">
        <v>457</v>
      </c>
      <c r="C9" s="125">
        <f>+'C3E'!J10</f>
        <v>277610</v>
      </c>
      <c r="D9" s="125"/>
      <c r="E9" s="125"/>
      <c r="F9" s="125"/>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row>
    <row r="10" spans="1:31" x14ac:dyDescent="0.25">
      <c r="A10" s="161"/>
      <c r="B10" s="162" t="s">
        <v>9</v>
      </c>
      <c r="C10" s="161">
        <f>SUM(C5:C9)</f>
        <v>476605</v>
      </c>
      <c r="D10" s="120"/>
      <c r="E10" s="120"/>
      <c r="F10" s="120"/>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I10"/>
  <sheetViews>
    <sheetView workbookViewId="0"/>
  </sheetViews>
  <sheetFormatPr baseColWidth="10" defaultColWidth="11.42578125" defaultRowHeight="15" x14ac:dyDescent="0.25"/>
  <cols>
    <col min="1" max="1" width="7.42578125" customWidth="1"/>
    <col min="2" max="2" width="19.42578125" customWidth="1"/>
    <col min="3" max="3" width="16.5703125" customWidth="1"/>
    <col min="4" max="4" width="14.42578125" customWidth="1"/>
    <col min="5" max="5" width="12.42578125" bestFit="1" customWidth="1"/>
    <col min="6" max="6" width="17.85546875" style="61" customWidth="1"/>
    <col min="7" max="7" width="14.42578125" style="61" customWidth="1"/>
    <col min="8" max="8" width="11.42578125" style="61"/>
    <col min="9" max="9" width="11.85546875" style="180" bestFit="1" customWidth="1"/>
  </cols>
  <sheetData>
    <row r="2" spans="1:9" x14ac:dyDescent="0.25">
      <c r="A2" t="s">
        <v>161</v>
      </c>
    </row>
    <row r="4" spans="1:9" x14ac:dyDescent="0.25">
      <c r="B4" s="60" t="s">
        <v>391</v>
      </c>
      <c r="C4" s="60" t="s">
        <v>392</v>
      </c>
      <c r="D4" s="60" t="s">
        <v>393</v>
      </c>
      <c r="E4" s="60"/>
      <c r="F4" s="73" t="s">
        <v>394</v>
      </c>
      <c r="G4" s="73" t="s">
        <v>395</v>
      </c>
      <c r="H4" s="73" t="s">
        <v>396</v>
      </c>
      <c r="I4" s="172" t="s">
        <v>424</v>
      </c>
    </row>
    <row r="5" spans="1:9" ht="293.25" x14ac:dyDescent="0.25">
      <c r="A5" s="30">
        <v>1</v>
      </c>
      <c r="B5" s="50" t="s">
        <v>162</v>
      </c>
      <c r="C5" s="39" t="s">
        <v>163</v>
      </c>
      <c r="D5" s="163" t="s">
        <v>165</v>
      </c>
      <c r="E5" s="45">
        <v>2400</v>
      </c>
      <c r="F5" s="64">
        <f>E5*500</f>
        <v>1200000</v>
      </c>
      <c r="G5" s="64">
        <v>941000</v>
      </c>
      <c r="H5" s="171">
        <f>+G5/F5</f>
        <v>0.78416666666666668</v>
      </c>
      <c r="I5" s="172">
        <v>2400</v>
      </c>
    </row>
    <row r="6" spans="1:9" ht="204.75" x14ac:dyDescent="0.25">
      <c r="A6" s="30">
        <f>+A5+1</f>
        <v>2</v>
      </c>
      <c r="B6" s="50" t="s">
        <v>167</v>
      </c>
      <c r="C6" s="39" t="s">
        <v>458</v>
      </c>
      <c r="D6" s="44" t="s">
        <v>459</v>
      </c>
      <c r="E6" s="45">
        <v>10000</v>
      </c>
      <c r="F6" s="64">
        <f>E6*500</f>
        <v>5000000</v>
      </c>
      <c r="G6" s="64">
        <v>975861</v>
      </c>
      <c r="H6" s="171">
        <f>+G6/F6</f>
        <v>0.19517219999999999</v>
      </c>
      <c r="I6" s="172">
        <v>8000</v>
      </c>
    </row>
    <row r="7" spans="1:9" ht="318.75" x14ac:dyDescent="0.25">
      <c r="A7" s="30">
        <f>+A6+1</f>
        <v>3</v>
      </c>
      <c r="B7" s="39" t="s">
        <v>170</v>
      </c>
      <c r="C7" s="39" t="s">
        <v>171</v>
      </c>
      <c r="D7" s="39" t="s">
        <v>460</v>
      </c>
      <c r="E7" s="46">
        <v>11000</v>
      </c>
      <c r="F7" s="64">
        <f>E7*500</f>
        <v>5500000</v>
      </c>
      <c r="G7" s="64">
        <v>2336355</v>
      </c>
      <c r="H7" s="171">
        <f>+G7/F7</f>
        <v>0.42479181818181816</v>
      </c>
      <c r="I7" s="172">
        <f>(600000*4/500)+(1000000*2/500)</f>
        <v>8800</v>
      </c>
    </row>
    <row r="8" spans="1:9" ht="165.75" x14ac:dyDescent="0.25">
      <c r="A8" s="30">
        <f>+A7+1</f>
        <v>4</v>
      </c>
      <c r="B8" s="39" t="s">
        <v>173</v>
      </c>
      <c r="C8" s="39" t="s">
        <v>461</v>
      </c>
      <c r="D8" s="163" t="s">
        <v>462</v>
      </c>
      <c r="E8" s="37">
        <v>8000</v>
      </c>
      <c r="F8" s="64">
        <f>E8*500</f>
        <v>4000000</v>
      </c>
      <c r="G8" s="64">
        <v>2103400</v>
      </c>
      <c r="H8" s="171">
        <f>+G8/F8</f>
        <v>0.52585000000000004</v>
      </c>
      <c r="I8" s="172">
        <f>1000000*0.006</f>
        <v>6000</v>
      </c>
    </row>
    <row r="9" spans="1:9" ht="76.5" x14ac:dyDescent="0.25">
      <c r="A9" s="30"/>
      <c r="B9" s="39" t="s">
        <v>176</v>
      </c>
      <c r="C9" s="39" t="s">
        <v>177</v>
      </c>
      <c r="D9" s="163" t="s">
        <v>178</v>
      </c>
      <c r="E9" s="37"/>
      <c r="F9" s="64"/>
      <c r="G9" s="64"/>
      <c r="H9" s="171"/>
      <c r="I9" s="172">
        <v>2000</v>
      </c>
    </row>
    <row r="10" spans="1:9" x14ac:dyDescent="0.25">
      <c r="A10" s="98"/>
      <c r="B10" s="98" t="s">
        <v>9</v>
      </c>
      <c r="C10" s="98"/>
      <c r="D10" s="98"/>
      <c r="E10" s="98"/>
      <c r="F10" s="181"/>
      <c r="G10" s="181"/>
      <c r="H10" s="181"/>
      <c r="I10" s="182">
        <f>SUM(I5:I9)</f>
        <v>27200</v>
      </c>
    </row>
  </sheetData>
  <pageMargins left="0.7" right="0.7" top="0.75" bottom="0.75" header="0.3" footer="0.3"/>
  <pageSetup paperSize="9" orientation="portrait"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L7"/>
  <sheetViews>
    <sheetView workbookViewId="0"/>
  </sheetViews>
  <sheetFormatPr baseColWidth="10" defaultColWidth="11.42578125" defaultRowHeight="15" x14ac:dyDescent="0.25"/>
  <cols>
    <col min="2" max="2" width="6.42578125" customWidth="1"/>
    <col min="3" max="3" width="17.85546875" customWidth="1"/>
    <col min="5" max="5" width="14.5703125" customWidth="1"/>
    <col min="6" max="6" width="12.42578125" bestFit="1" customWidth="1"/>
    <col min="7" max="7" width="17.85546875" style="61" customWidth="1"/>
    <col min="8" max="8" width="16.42578125" style="61" customWidth="1"/>
    <col min="9" max="9" width="11.42578125" style="61"/>
    <col min="10" max="10" width="19.42578125" style="180" customWidth="1"/>
    <col min="11" max="11" width="19.42578125" style="2" customWidth="1"/>
  </cols>
  <sheetData>
    <row r="2" spans="2:12" x14ac:dyDescent="0.25">
      <c r="B2" t="s">
        <v>179</v>
      </c>
    </row>
    <row r="4" spans="2:12" x14ac:dyDescent="0.25">
      <c r="C4" s="60" t="s">
        <v>391</v>
      </c>
      <c r="D4" s="60" t="s">
        <v>392</v>
      </c>
      <c r="E4" s="60" t="s">
        <v>393</v>
      </c>
      <c r="F4" s="60"/>
      <c r="G4" s="73" t="s">
        <v>394</v>
      </c>
      <c r="H4" s="73" t="s">
        <v>395</v>
      </c>
      <c r="I4" s="73" t="s">
        <v>396</v>
      </c>
      <c r="J4" s="172" t="s">
        <v>424</v>
      </c>
      <c r="K4" s="156" t="s">
        <v>439</v>
      </c>
      <c r="L4" s="164" t="s">
        <v>440</v>
      </c>
    </row>
    <row r="5" spans="2:12" ht="195" x14ac:dyDescent="0.25">
      <c r="B5" s="30">
        <v>1</v>
      </c>
      <c r="C5" s="50" t="s">
        <v>180</v>
      </c>
      <c r="D5" s="39" t="s">
        <v>181</v>
      </c>
      <c r="E5" s="163" t="s">
        <v>463</v>
      </c>
      <c r="F5" s="45">
        <v>12000</v>
      </c>
      <c r="G5" s="64">
        <f>F5*500</f>
        <v>6000000</v>
      </c>
      <c r="H5" s="64">
        <v>24950</v>
      </c>
      <c r="I5" s="183">
        <f>+H5/G5</f>
        <v>4.1583333333333333E-3</v>
      </c>
      <c r="J5" s="172">
        <v>6000</v>
      </c>
      <c r="K5" s="156"/>
      <c r="L5" s="166" t="s">
        <v>464</v>
      </c>
    </row>
    <row r="6" spans="2:12" ht="102" x14ac:dyDescent="0.25">
      <c r="B6" s="49">
        <v>2</v>
      </c>
      <c r="C6" s="50" t="s">
        <v>183</v>
      </c>
      <c r="D6" s="50" t="s">
        <v>465</v>
      </c>
      <c r="E6" s="165" t="s">
        <v>184</v>
      </c>
      <c r="F6" s="51">
        <v>12000</v>
      </c>
      <c r="G6" s="184">
        <f>F6*500</f>
        <v>6000000</v>
      </c>
      <c r="H6" s="184"/>
      <c r="I6" s="171">
        <f>+H6/G6</f>
        <v>0</v>
      </c>
      <c r="J6" s="172">
        <v>6000</v>
      </c>
      <c r="K6" s="156"/>
    </row>
    <row r="7" spans="2:12" x14ac:dyDescent="0.25">
      <c r="B7" s="30"/>
      <c r="C7" s="39" t="s">
        <v>9</v>
      </c>
      <c r="D7" s="39"/>
      <c r="E7" s="44"/>
      <c r="F7" s="37"/>
      <c r="G7" s="64"/>
      <c r="H7" s="64"/>
      <c r="I7" s="171"/>
      <c r="J7" s="172">
        <f>SUM(J5:J6)</f>
        <v>12000</v>
      </c>
      <c r="K7" s="156"/>
    </row>
  </sheetData>
  <pageMargins left="0.7" right="0.7" top="0.75" bottom="0.75" header="0.3" footer="0.3"/>
  <pageSetup paperSize="9" orientation="portrait"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L11"/>
  <sheetViews>
    <sheetView workbookViewId="0"/>
  </sheetViews>
  <sheetFormatPr baseColWidth="10" defaultColWidth="11.42578125" defaultRowHeight="15" x14ac:dyDescent="0.25"/>
  <cols>
    <col min="2" max="2" width="6.5703125" customWidth="1"/>
    <col min="3" max="5" width="27.42578125" customWidth="1"/>
    <col min="6" max="6" width="12.42578125" bestFit="1" customWidth="1"/>
    <col min="7" max="7" width="17.85546875" customWidth="1"/>
    <col min="8" max="8" width="16.42578125" customWidth="1"/>
    <col min="10" max="10" width="18.5703125" style="2" customWidth="1"/>
    <col min="12" max="12" width="13.140625" bestFit="1" customWidth="1"/>
  </cols>
  <sheetData>
    <row r="2" spans="2:12" x14ac:dyDescent="0.25">
      <c r="B2" s="107" t="s">
        <v>186</v>
      </c>
      <c r="C2" s="107"/>
      <c r="D2" s="107"/>
      <c r="E2" s="107"/>
      <c r="F2" s="107"/>
      <c r="G2" s="107"/>
      <c r="H2" s="107"/>
      <c r="I2" s="107"/>
      <c r="J2" s="108"/>
      <c r="K2" s="107"/>
      <c r="L2" s="107"/>
    </row>
    <row r="3" spans="2:12" x14ac:dyDescent="0.25">
      <c r="B3" s="107"/>
      <c r="C3" s="107"/>
      <c r="D3" s="107"/>
      <c r="E3" s="107"/>
      <c r="F3" s="107"/>
      <c r="G3" s="107"/>
      <c r="H3" s="107"/>
      <c r="I3" s="107"/>
      <c r="J3" s="108"/>
      <c r="K3" s="107"/>
      <c r="L3" s="107"/>
    </row>
    <row r="4" spans="2:12" x14ac:dyDescent="0.25">
      <c r="B4" s="107"/>
      <c r="C4" s="68" t="s">
        <v>391</v>
      </c>
      <c r="D4" s="68" t="s">
        <v>392</v>
      </c>
      <c r="E4" s="68" t="s">
        <v>393</v>
      </c>
      <c r="F4" s="68"/>
      <c r="G4" s="68" t="s">
        <v>394</v>
      </c>
      <c r="H4" s="68" t="s">
        <v>395</v>
      </c>
      <c r="I4" s="68" t="s">
        <v>396</v>
      </c>
      <c r="J4" s="103" t="s">
        <v>424</v>
      </c>
      <c r="K4" s="145" t="s">
        <v>398</v>
      </c>
      <c r="L4" s="145" t="s">
        <v>440</v>
      </c>
    </row>
    <row r="5" spans="2:12" ht="115.5" x14ac:dyDescent="0.25">
      <c r="B5" s="30">
        <v>1</v>
      </c>
      <c r="C5" s="39" t="s">
        <v>187</v>
      </c>
      <c r="D5" s="39" t="s">
        <v>188</v>
      </c>
      <c r="E5" s="29" t="s">
        <v>189</v>
      </c>
      <c r="F5" s="167">
        <v>10000</v>
      </c>
      <c r="G5" s="168">
        <f t="shared" ref="G5:G10" si="0">F5*500</f>
        <v>5000000</v>
      </c>
      <c r="H5" s="169"/>
      <c r="I5" s="185">
        <f t="shared" ref="I5:I10" si="1">+H5/G5</f>
        <v>0</v>
      </c>
      <c r="J5" s="186">
        <v>5000</v>
      </c>
      <c r="K5" s="107"/>
      <c r="L5" s="107" t="s">
        <v>466</v>
      </c>
    </row>
    <row r="6" spans="2:12" ht="102.75" x14ac:dyDescent="0.25">
      <c r="B6" s="30">
        <f>+B5+1</f>
        <v>2</v>
      </c>
      <c r="C6" s="39" t="s">
        <v>191</v>
      </c>
      <c r="D6" s="39" t="s">
        <v>467</v>
      </c>
      <c r="E6" s="29" t="s">
        <v>193</v>
      </c>
      <c r="F6" s="45">
        <v>7500</v>
      </c>
      <c r="G6" s="64">
        <f t="shared" si="0"/>
        <v>3750000</v>
      </c>
      <c r="H6" s="64">
        <v>1063000</v>
      </c>
      <c r="I6" s="77">
        <f t="shared" si="1"/>
        <v>0.28346666666666664</v>
      </c>
      <c r="J6" s="187">
        <f>600000*0.006</f>
        <v>3600</v>
      </c>
      <c r="K6" s="107"/>
      <c r="L6" s="107"/>
    </row>
    <row r="7" spans="2:12" ht="51.75" x14ac:dyDescent="0.25">
      <c r="B7" s="30">
        <f>+B6+1</f>
        <v>3</v>
      </c>
      <c r="C7" s="39" t="s">
        <v>468</v>
      </c>
      <c r="D7" s="39" t="s">
        <v>469</v>
      </c>
      <c r="E7" s="29" t="s">
        <v>470</v>
      </c>
      <c r="F7" s="45">
        <v>3000</v>
      </c>
      <c r="G7" s="64">
        <f t="shared" si="0"/>
        <v>1500000</v>
      </c>
      <c r="H7" s="64"/>
      <c r="I7" s="69">
        <f t="shared" si="1"/>
        <v>0</v>
      </c>
      <c r="J7" s="103">
        <v>1500</v>
      </c>
      <c r="K7" s="107"/>
      <c r="L7" s="107"/>
    </row>
    <row r="8" spans="2:12" ht="89.25" x14ac:dyDescent="0.25">
      <c r="B8" s="30">
        <f>+B7+1</f>
        <v>4</v>
      </c>
      <c r="C8" s="39" t="s">
        <v>194</v>
      </c>
      <c r="D8" s="39" t="s">
        <v>471</v>
      </c>
      <c r="E8" s="31" t="s">
        <v>196</v>
      </c>
      <c r="F8" s="45">
        <v>10000</v>
      </c>
      <c r="G8" s="64">
        <f t="shared" si="0"/>
        <v>5000000</v>
      </c>
      <c r="H8" s="64">
        <v>2105306</v>
      </c>
      <c r="I8" s="69">
        <f t="shared" si="1"/>
        <v>0.42106120000000002</v>
      </c>
      <c r="J8" s="103">
        <v>500</v>
      </c>
      <c r="K8" s="107"/>
      <c r="L8" s="107"/>
    </row>
    <row r="9" spans="2:12" ht="77.25" x14ac:dyDescent="0.25">
      <c r="B9" s="30">
        <f>+B8+1</f>
        <v>5</v>
      </c>
      <c r="C9" s="39" t="s">
        <v>197</v>
      </c>
      <c r="D9" s="39" t="s">
        <v>198</v>
      </c>
      <c r="E9" s="29" t="s">
        <v>199</v>
      </c>
      <c r="F9" s="45">
        <v>7000</v>
      </c>
      <c r="G9" s="64">
        <f t="shared" si="0"/>
        <v>3500000</v>
      </c>
      <c r="H9" s="64"/>
      <c r="I9" s="69">
        <f t="shared" si="1"/>
        <v>0</v>
      </c>
      <c r="J9" s="103">
        <v>500</v>
      </c>
      <c r="K9" s="107"/>
      <c r="L9" s="107"/>
    </row>
    <row r="10" spans="2:12" ht="51" x14ac:dyDescent="0.25">
      <c r="B10" s="30">
        <f>+B9+1</f>
        <v>6</v>
      </c>
      <c r="C10" s="39" t="s">
        <v>200</v>
      </c>
      <c r="D10" s="39" t="s">
        <v>201</v>
      </c>
      <c r="E10" s="30"/>
      <c r="F10" s="45">
        <v>100000</v>
      </c>
      <c r="G10" s="64">
        <f t="shared" si="0"/>
        <v>50000000</v>
      </c>
      <c r="H10" s="64">
        <v>39418477</v>
      </c>
      <c r="I10" s="69">
        <f t="shared" si="1"/>
        <v>0.78836954000000004</v>
      </c>
      <c r="J10" s="103">
        <v>128695</v>
      </c>
      <c r="K10" s="188" t="s">
        <v>472</v>
      </c>
      <c r="L10" s="108">
        <f>64346580/500</f>
        <v>128693.16</v>
      </c>
    </row>
    <row r="11" spans="2:12" x14ac:dyDescent="0.25">
      <c r="B11" s="68"/>
      <c r="C11" s="68" t="s">
        <v>9</v>
      </c>
      <c r="D11" s="68"/>
      <c r="E11" s="68"/>
      <c r="F11" s="189">
        <f>SUM(F5:F10)</f>
        <v>137500</v>
      </c>
      <c r="G11" s="68"/>
      <c r="H11" s="68"/>
      <c r="I11" s="68"/>
      <c r="J11" s="103">
        <f>SUM(J5:J10)</f>
        <v>139795</v>
      </c>
      <c r="K11" s="107"/>
      <c r="L11" s="107"/>
    </row>
  </sheetData>
  <pageMargins left="0.7" right="0.7" top="0.75" bottom="0.75" header="0.3" footer="0.3"/>
  <legacy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2"/>
  <sheetViews>
    <sheetView workbookViewId="0"/>
  </sheetViews>
  <sheetFormatPr baseColWidth="10" defaultColWidth="11.42578125" defaultRowHeight="15" x14ac:dyDescent="0.25"/>
  <cols>
    <col min="2" max="2" width="4.85546875" customWidth="1"/>
    <col min="6" max="6" width="12.42578125" bestFit="1" customWidth="1"/>
    <col min="7" max="7" width="17.85546875" customWidth="1"/>
    <col min="8" max="8" width="16.42578125" customWidth="1"/>
    <col min="10" max="10" width="18.5703125" style="2" customWidth="1"/>
  </cols>
  <sheetData>
    <row r="2" spans="2:11" x14ac:dyDescent="0.25">
      <c r="B2" t="s">
        <v>203</v>
      </c>
    </row>
    <row r="3" spans="2:11" x14ac:dyDescent="0.25">
      <c r="C3" s="179"/>
      <c r="D3" s="179"/>
      <c r="E3" s="179"/>
      <c r="F3" s="179"/>
    </row>
    <row r="4" spans="2:11" x14ac:dyDescent="0.25">
      <c r="C4" s="60" t="s">
        <v>391</v>
      </c>
      <c r="D4" s="60" t="s">
        <v>392</v>
      </c>
      <c r="E4" s="60" t="s">
        <v>393</v>
      </c>
      <c r="F4" s="60"/>
      <c r="G4" s="60" t="s">
        <v>394</v>
      </c>
      <c r="H4" s="60" t="s">
        <v>395</v>
      </c>
      <c r="I4" s="60" t="s">
        <v>396</v>
      </c>
      <c r="J4" s="99" t="s">
        <v>424</v>
      </c>
    </row>
    <row r="5" spans="2:11" ht="140.25" x14ac:dyDescent="0.25">
      <c r="B5" s="30">
        <v>1</v>
      </c>
      <c r="C5" s="50" t="s">
        <v>204</v>
      </c>
      <c r="D5" s="39" t="s">
        <v>205</v>
      </c>
      <c r="E5" s="39" t="s">
        <v>206</v>
      </c>
      <c r="F5" s="45">
        <v>5000</v>
      </c>
      <c r="G5" s="64">
        <f>F5*500</f>
        <v>2500000</v>
      </c>
      <c r="H5" s="64">
        <v>1635950</v>
      </c>
      <c r="I5" s="65">
        <f>+H5/G5</f>
        <v>0.65437999999999996</v>
      </c>
      <c r="J5" s="99">
        <v>2400</v>
      </c>
    </row>
    <row r="6" spans="2:11" ht="102" x14ac:dyDescent="0.25">
      <c r="B6" s="30">
        <f t="shared" ref="B6:B11" si="0">+B5+1</f>
        <v>2</v>
      </c>
      <c r="C6" s="39" t="s">
        <v>473</v>
      </c>
      <c r="D6" s="39" t="s">
        <v>208</v>
      </c>
      <c r="E6" s="39" t="s">
        <v>209</v>
      </c>
      <c r="F6" s="45">
        <v>7000</v>
      </c>
      <c r="G6" s="64">
        <f>F6*500</f>
        <v>3500000</v>
      </c>
      <c r="H6" s="64">
        <v>1003900</v>
      </c>
      <c r="I6" s="65">
        <f>+H6/G6</f>
        <v>0.28682857142857143</v>
      </c>
      <c r="J6" s="172">
        <f>600000*3/500</f>
        <v>3600</v>
      </c>
    </row>
    <row r="7" spans="2:11" ht="140.25" x14ac:dyDescent="0.25">
      <c r="B7" s="30">
        <f t="shared" si="0"/>
        <v>3</v>
      </c>
      <c r="C7" s="50" t="s">
        <v>210</v>
      </c>
      <c r="D7" s="39" t="s">
        <v>211</v>
      </c>
      <c r="E7" s="39" t="s">
        <v>212</v>
      </c>
      <c r="F7" s="45">
        <v>3000</v>
      </c>
      <c r="G7" s="64">
        <f>F7*500</f>
        <v>1500000</v>
      </c>
      <c r="H7" s="64">
        <v>706710</v>
      </c>
      <c r="I7" s="65">
        <f>+H7/G7</f>
        <v>0.47114</v>
      </c>
      <c r="J7" s="99">
        <f>600000*0.006</f>
        <v>3600</v>
      </c>
    </row>
    <row r="8" spans="2:11" ht="76.5" x14ac:dyDescent="0.25">
      <c r="B8" s="30">
        <f t="shared" si="0"/>
        <v>4</v>
      </c>
      <c r="C8" s="39" t="s">
        <v>213</v>
      </c>
      <c r="D8" s="39" t="s">
        <v>214</v>
      </c>
      <c r="E8" s="39" t="s">
        <v>215</v>
      </c>
      <c r="F8" s="45">
        <v>3000</v>
      </c>
      <c r="G8" s="64">
        <f>F8*500</f>
        <v>1500000</v>
      </c>
      <c r="H8" s="64"/>
      <c r="I8" s="65">
        <f>+H8/G8</f>
        <v>0</v>
      </c>
      <c r="J8" s="99">
        <f>600000*0.004</f>
        <v>2400</v>
      </c>
    </row>
    <row r="9" spans="2:11" ht="216.75" x14ac:dyDescent="0.25">
      <c r="B9" s="30">
        <f t="shared" si="0"/>
        <v>5</v>
      </c>
      <c r="C9" s="39" t="s">
        <v>216</v>
      </c>
      <c r="D9" s="39" t="s">
        <v>217</v>
      </c>
      <c r="E9" s="39" t="s">
        <v>218</v>
      </c>
      <c r="F9" s="45"/>
      <c r="G9" s="64"/>
      <c r="H9" s="64"/>
      <c r="I9" s="65"/>
      <c r="J9" s="106">
        <v>2400</v>
      </c>
      <c r="K9">
        <f>600000*2/500</f>
        <v>2400</v>
      </c>
    </row>
    <row r="10" spans="2:11" ht="89.25" x14ac:dyDescent="0.25">
      <c r="B10" s="30">
        <f t="shared" si="0"/>
        <v>6</v>
      </c>
      <c r="C10" s="39" t="s">
        <v>219</v>
      </c>
      <c r="E10" s="45" t="s">
        <v>221</v>
      </c>
      <c r="G10" s="64"/>
      <c r="H10" s="64"/>
      <c r="I10" s="65"/>
      <c r="J10" s="106">
        <f>600000*3/500</f>
        <v>3600</v>
      </c>
    </row>
    <row r="11" spans="2:11" ht="51" x14ac:dyDescent="0.25">
      <c r="B11" s="30">
        <f t="shared" si="0"/>
        <v>7</v>
      </c>
      <c r="C11" s="39" t="s">
        <v>474</v>
      </c>
      <c r="D11" s="39"/>
      <c r="E11" s="39" t="s">
        <v>224</v>
      </c>
      <c r="F11" s="45"/>
      <c r="G11" s="64"/>
      <c r="H11" s="64"/>
      <c r="I11" s="65"/>
      <c r="J11" s="106">
        <f>1000000/500</f>
        <v>2000</v>
      </c>
    </row>
    <row r="12" spans="2:11" x14ac:dyDescent="0.25">
      <c r="B12" s="60"/>
      <c r="C12" s="60" t="s">
        <v>9</v>
      </c>
      <c r="D12" s="60"/>
      <c r="E12" s="60"/>
      <c r="F12" s="60"/>
      <c r="G12" s="60"/>
      <c r="H12" s="60"/>
      <c r="I12" s="60"/>
      <c r="J12" s="99">
        <f>SUM(J5:J11)</f>
        <v>20000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0"/>
  <sheetViews>
    <sheetView workbookViewId="0"/>
  </sheetViews>
  <sheetFormatPr baseColWidth="10" defaultColWidth="11.42578125" defaultRowHeight="15" x14ac:dyDescent="0.25"/>
  <cols>
    <col min="6" max="6" width="12.42578125" bestFit="1" customWidth="1"/>
    <col min="7" max="7" width="17.85546875" customWidth="1"/>
    <col min="8" max="8" width="16.42578125" customWidth="1"/>
    <col min="10" max="10" width="21.42578125" style="2" customWidth="1"/>
    <col min="12" max="12" width="13.140625" bestFit="1" customWidth="1"/>
    <col min="13" max="13" width="12.5703125" bestFit="1" customWidth="1"/>
  </cols>
  <sheetData>
    <row r="2" spans="2:14" x14ac:dyDescent="0.25">
      <c r="B2" t="s">
        <v>225</v>
      </c>
    </row>
    <row r="4" spans="2:14" x14ac:dyDescent="0.25">
      <c r="B4" s="60" t="s">
        <v>391</v>
      </c>
      <c r="C4" s="60" t="s">
        <v>392</v>
      </c>
      <c r="D4" s="60" t="s">
        <v>393</v>
      </c>
      <c r="E4" s="60"/>
      <c r="F4" s="60"/>
      <c r="G4" s="60" t="s">
        <v>394</v>
      </c>
      <c r="H4" s="60" t="s">
        <v>395</v>
      </c>
      <c r="I4" s="60" t="s">
        <v>396</v>
      </c>
      <c r="J4" s="99" t="s">
        <v>424</v>
      </c>
    </row>
    <row r="5" spans="2:14" ht="89.25" x14ac:dyDescent="0.25">
      <c r="B5" s="30">
        <v>1</v>
      </c>
      <c r="C5" s="39" t="s">
        <v>226</v>
      </c>
      <c r="D5" s="39" t="s">
        <v>227</v>
      </c>
      <c r="E5" s="39" t="s">
        <v>228</v>
      </c>
      <c r="F5" s="45">
        <v>50000</v>
      </c>
      <c r="G5" s="64">
        <f>F5*500</f>
        <v>25000000</v>
      </c>
      <c r="H5" s="64"/>
      <c r="I5" s="65">
        <f>+H5/G5</f>
        <v>0</v>
      </c>
      <c r="J5" s="99">
        <v>162499</v>
      </c>
      <c r="L5" s="2">
        <f>81249324/500</f>
        <v>162498.64799999999</v>
      </c>
    </row>
    <row r="6" spans="2:14" ht="114.75" x14ac:dyDescent="0.25">
      <c r="B6" s="30">
        <f>+B5+1</f>
        <v>2</v>
      </c>
      <c r="C6" s="39" t="s">
        <v>229</v>
      </c>
      <c r="D6" s="39" t="s">
        <v>230</v>
      </c>
      <c r="E6" s="39" t="s">
        <v>231</v>
      </c>
      <c r="F6" s="45">
        <v>25000</v>
      </c>
      <c r="G6" s="64">
        <f>F6*500</f>
        <v>12500000</v>
      </c>
      <c r="H6" s="64"/>
      <c r="I6" s="65">
        <f>+H6/G6</f>
        <v>0</v>
      </c>
      <c r="J6" s="99">
        <v>26337</v>
      </c>
      <c r="K6">
        <f>+J6*500</f>
        <v>13168500</v>
      </c>
      <c r="L6" s="2">
        <f>13168337/500</f>
        <v>26336.673999999999</v>
      </c>
    </row>
    <row r="7" spans="2:14" ht="89.25" x14ac:dyDescent="0.25">
      <c r="B7" s="30">
        <f>+B6+1</f>
        <v>3</v>
      </c>
      <c r="C7" s="39" t="s">
        <v>232</v>
      </c>
      <c r="D7" s="39" t="s">
        <v>475</v>
      </c>
      <c r="E7" s="39" t="s">
        <v>234</v>
      </c>
      <c r="F7" s="45">
        <v>20000</v>
      </c>
      <c r="G7" s="64">
        <f>F7*500</f>
        <v>10000000</v>
      </c>
      <c r="H7" s="64">
        <v>8460600</v>
      </c>
      <c r="I7" s="65">
        <f>+H7/G7</f>
        <v>0.84606000000000003</v>
      </c>
      <c r="J7" s="99">
        <v>20574</v>
      </c>
      <c r="K7">
        <f>+J7*500</f>
        <v>10287000</v>
      </c>
      <c r="L7">
        <f>10287000/500</f>
        <v>20574</v>
      </c>
    </row>
    <row r="8" spans="2:14" ht="63.75" x14ac:dyDescent="0.25">
      <c r="B8" s="30">
        <f>+B7+1</f>
        <v>4</v>
      </c>
      <c r="C8" s="39" t="s">
        <v>235</v>
      </c>
      <c r="D8" s="39" t="s">
        <v>236</v>
      </c>
      <c r="E8" s="39" t="s">
        <v>237</v>
      </c>
      <c r="F8" s="45">
        <v>3400</v>
      </c>
      <c r="G8" s="64">
        <f>F8*500</f>
        <v>1700000</v>
      </c>
      <c r="H8" s="64">
        <v>1553250</v>
      </c>
      <c r="I8" s="65">
        <f>+H8/G8</f>
        <v>0.91367647058823531</v>
      </c>
      <c r="J8" s="99">
        <v>200</v>
      </c>
      <c r="K8">
        <f>+J8*500</f>
        <v>100000</v>
      </c>
      <c r="M8">
        <f>100000/500</f>
        <v>200</v>
      </c>
    </row>
    <row r="9" spans="2:14" ht="89.25" x14ac:dyDescent="0.25">
      <c r="B9" s="30">
        <f>+B8+1</f>
        <v>5</v>
      </c>
      <c r="C9" s="39" t="s">
        <v>238</v>
      </c>
      <c r="D9" s="39" t="s">
        <v>239</v>
      </c>
      <c r="E9" s="39" t="s">
        <v>240</v>
      </c>
      <c r="F9" s="45">
        <v>77742</v>
      </c>
      <c r="G9" s="64">
        <f>F9*500</f>
        <v>38871000</v>
      </c>
      <c r="H9" s="64">
        <v>6104872</v>
      </c>
      <c r="I9" s="65">
        <f>+H9/G9</f>
        <v>0.15705466800442489</v>
      </c>
      <c r="J9" s="99">
        <v>68000</v>
      </c>
      <c r="K9">
        <f>+J9*500</f>
        <v>34000000</v>
      </c>
      <c r="L9">
        <f>34000000/500</f>
        <v>68000</v>
      </c>
      <c r="M9" s="3">
        <f>+G9-H9</f>
        <v>32766128</v>
      </c>
      <c r="N9">
        <f>+M9/500</f>
        <v>65532.256000000001</v>
      </c>
    </row>
    <row r="10" spans="2:14" x14ac:dyDescent="0.25">
      <c r="B10" s="60"/>
      <c r="C10" s="60" t="s">
        <v>9</v>
      </c>
      <c r="D10" s="60"/>
      <c r="E10" s="60"/>
      <c r="F10" s="60"/>
      <c r="G10" s="60"/>
      <c r="H10" s="60"/>
      <c r="I10" s="60"/>
      <c r="J10" s="99">
        <f>SUM(J5:J9)</f>
        <v>277610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114"/>
  <sheetViews>
    <sheetView tabSelected="1" zoomScale="140" zoomScaleNormal="140" workbookViewId="0">
      <selection activeCell="H10" sqref="H10"/>
    </sheetView>
  </sheetViews>
  <sheetFormatPr baseColWidth="10" defaultColWidth="9.140625" defaultRowHeight="12.75" x14ac:dyDescent="0.2"/>
  <cols>
    <col min="1" max="1" width="5.7109375" style="27" customWidth="1"/>
    <col min="2" max="2" width="28.5703125" style="27" customWidth="1"/>
    <col min="3" max="3" width="45.5703125" style="27" customWidth="1"/>
    <col min="4" max="4" width="7.85546875" style="27" customWidth="1"/>
    <col min="5" max="5" width="5" style="27" customWidth="1"/>
    <col min="6" max="6" width="6.5703125" style="27" customWidth="1"/>
    <col min="7" max="7" width="9.42578125" style="27" customWidth="1"/>
    <col min="8" max="8" width="10.5703125" style="27" customWidth="1"/>
    <col min="9" max="9" width="4.42578125" style="27" customWidth="1"/>
    <col min="10" max="10" width="9.85546875" style="27" customWidth="1"/>
    <col min="11" max="11" width="9" style="27" customWidth="1"/>
    <col min="12" max="12" width="8.5703125" style="27" customWidth="1"/>
    <col min="13" max="13" width="4.42578125" style="27" customWidth="1"/>
    <col min="14" max="14" width="7.42578125" style="27" customWidth="1"/>
    <col min="15" max="15" width="9" style="27" customWidth="1"/>
    <col min="16" max="16" width="8" style="27" customWidth="1"/>
    <col min="17" max="17" width="5.140625" style="27" customWidth="1"/>
    <col min="18" max="18" width="6.42578125" style="27" customWidth="1"/>
    <col min="19" max="19" width="5.5703125" style="27" customWidth="1"/>
    <col min="20" max="20" width="10.42578125" style="27" customWidth="1"/>
    <col min="21" max="21" width="7.85546875" style="27" customWidth="1"/>
    <col min="22" max="22" width="77.140625" style="27" bestFit="1" customWidth="1"/>
    <col min="23" max="23" width="11" style="27" bestFit="1" customWidth="1"/>
    <col min="24" max="24" width="13.5703125" style="27" customWidth="1"/>
    <col min="25" max="25" width="12" style="27" customWidth="1"/>
    <col min="26" max="26" width="14.5703125" style="27" customWidth="1"/>
    <col min="27" max="27" width="29.85546875" style="27" customWidth="1"/>
    <col min="28" max="28" width="9.140625" style="27" customWidth="1"/>
    <col min="29" max="16384" width="9.140625" style="27"/>
  </cols>
  <sheetData>
    <row r="1" spans="1:27" s="18" customFormat="1" x14ac:dyDescent="0.2">
      <c r="B1" s="19" t="s">
        <v>10</v>
      </c>
      <c r="C1" s="20" t="s">
        <v>11</v>
      </c>
      <c r="E1" s="229"/>
      <c r="F1" s="21"/>
      <c r="G1" s="235"/>
      <c r="H1" s="235"/>
      <c r="I1" s="235"/>
      <c r="J1" s="235"/>
      <c r="K1" s="235"/>
      <c r="L1" s="235"/>
      <c r="M1" s="235"/>
      <c r="N1" s="235"/>
      <c r="O1" s="235"/>
      <c r="P1" s="235"/>
      <c r="Q1" s="235"/>
      <c r="R1" s="235"/>
      <c r="S1" s="235"/>
      <c r="T1" s="235"/>
      <c r="U1" s="235"/>
      <c r="V1" s="235"/>
      <c r="W1" s="235"/>
      <c r="X1" s="235"/>
      <c r="Y1" s="235"/>
      <c r="Z1" s="235"/>
      <c r="AA1" s="236"/>
    </row>
    <row r="2" spans="1:27" s="18" customFormat="1" x14ac:dyDescent="0.2">
      <c r="B2" s="22" t="s">
        <v>12</v>
      </c>
      <c r="C2" s="18" t="s">
        <v>13</v>
      </c>
      <c r="E2" s="229"/>
      <c r="F2" s="23"/>
      <c r="G2" s="235" t="s">
        <v>14</v>
      </c>
      <c r="H2" s="235"/>
      <c r="I2" s="229"/>
      <c r="J2" s="229"/>
      <c r="K2" s="229"/>
      <c r="L2" s="229"/>
      <c r="M2" s="229"/>
      <c r="N2" s="229"/>
      <c r="O2" s="229"/>
      <c r="P2" s="229"/>
      <c r="Q2" s="229"/>
      <c r="R2" s="229"/>
      <c r="S2" s="229"/>
      <c r="T2" s="229"/>
      <c r="U2" s="229"/>
      <c r="V2" s="229"/>
      <c r="W2" s="229"/>
      <c r="X2" s="229"/>
      <c r="Y2" s="229"/>
      <c r="Z2" s="229"/>
      <c r="AA2" s="229"/>
    </row>
    <row r="3" spans="1:27" s="18" customFormat="1" x14ac:dyDescent="0.2">
      <c r="B3" s="22" t="s">
        <v>15</v>
      </c>
      <c r="C3" s="18" t="s">
        <v>16</v>
      </c>
      <c r="E3" s="235"/>
      <c r="F3" s="235"/>
      <c r="G3" s="235"/>
      <c r="H3" s="235"/>
      <c r="I3" s="235"/>
      <c r="J3" s="235"/>
      <c r="K3" s="235"/>
      <c r="L3" s="235"/>
      <c r="M3" s="235"/>
      <c r="N3" s="235"/>
      <c r="O3" s="235"/>
      <c r="P3" s="235"/>
      <c r="Q3" s="235"/>
      <c r="R3" s="235"/>
      <c r="S3" s="235"/>
      <c r="T3" s="235"/>
      <c r="U3" s="235"/>
      <c r="V3" s="235"/>
      <c r="W3" s="235"/>
      <c r="X3" s="235"/>
      <c r="Y3" s="235"/>
      <c r="Z3" s="235"/>
      <c r="AA3" s="235"/>
    </row>
    <row r="4" spans="1:27" s="18" customFormat="1" x14ac:dyDescent="0.2">
      <c r="B4" s="22" t="s">
        <v>17</v>
      </c>
      <c r="C4" s="18" t="s">
        <v>18</v>
      </c>
      <c r="E4" s="229"/>
      <c r="F4" s="24"/>
      <c r="G4" s="235" t="s">
        <v>19</v>
      </c>
      <c r="H4" s="235"/>
      <c r="I4" s="235"/>
      <c r="J4" s="235"/>
      <c r="K4" s="235"/>
      <c r="L4" s="235"/>
      <c r="M4" s="235"/>
      <c r="N4" s="235"/>
      <c r="O4" s="235"/>
      <c r="P4" s="235"/>
      <c r="Q4" s="235"/>
      <c r="R4" s="235"/>
      <c r="S4" s="235"/>
      <c r="T4" s="235"/>
      <c r="U4" s="235"/>
      <c r="V4" s="235"/>
      <c r="W4" s="235"/>
      <c r="X4" s="235"/>
      <c r="Y4" s="235"/>
      <c r="Z4" s="235"/>
      <c r="AA4" s="236"/>
    </row>
    <row r="5" spans="1:27" s="18" customFormat="1" x14ac:dyDescent="0.2">
      <c r="B5" s="25" t="s">
        <v>20</v>
      </c>
      <c r="C5" s="26" t="s">
        <v>21</v>
      </c>
      <c r="D5" s="26"/>
      <c r="E5" s="242"/>
      <c r="F5" s="242"/>
      <c r="G5" s="242"/>
      <c r="H5" s="242"/>
      <c r="I5" s="242"/>
      <c r="J5" s="242"/>
      <c r="K5" s="242"/>
      <c r="L5" s="242"/>
      <c r="M5" s="242"/>
      <c r="N5" s="242"/>
      <c r="O5" s="242"/>
      <c r="P5" s="242"/>
      <c r="Q5" s="242"/>
      <c r="R5" s="242"/>
      <c r="S5" s="242"/>
      <c r="T5" s="242"/>
      <c r="U5" s="242"/>
      <c r="V5" s="242"/>
      <c r="W5" s="242"/>
      <c r="X5" s="242"/>
      <c r="Y5" s="242"/>
      <c r="Z5" s="242"/>
      <c r="AA5" s="243"/>
    </row>
    <row r="6" spans="1:27" x14ac:dyDescent="0.2">
      <c r="B6" s="259" t="s">
        <v>22</v>
      </c>
      <c r="C6" s="246" t="s">
        <v>23</v>
      </c>
      <c r="D6" s="240" t="s">
        <v>24</v>
      </c>
      <c r="E6" s="237"/>
      <c r="F6" s="239" t="s">
        <v>25</v>
      </c>
      <c r="G6" s="239"/>
      <c r="H6" s="239"/>
      <c r="I6" s="237"/>
      <c r="J6" s="238" t="s">
        <v>26</v>
      </c>
      <c r="K6" s="238"/>
      <c r="L6" s="238"/>
      <c r="M6" s="237"/>
      <c r="N6" s="239" t="s">
        <v>27</v>
      </c>
      <c r="O6" s="239"/>
      <c r="P6" s="239"/>
      <c r="Q6" s="237"/>
      <c r="R6" s="238" t="s">
        <v>28</v>
      </c>
      <c r="S6" s="238"/>
      <c r="T6" s="238"/>
      <c r="U6" s="237"/>
      <c r="V6" s="240" t="s">
        <v>29</v>
      </c>
      <c r="W6" s="240" t="s">
        <v>30</v>
      </c>
      <c r="X6" s="245" t="s">
        <v>31</v>
      </c>
      <c r="Y6" s="240" t="s">
        <v>32</v>
      </c>
      <c r="Z6" s="240" t="s">
        <v>33</v>
      </c>
      <c r="AA6" s="237" t="s">
        <v>34</v>
      </c>
    </row>
    <row r="7" spans="1:27" x14ac:dyDescent="0.2">
      <c r="B7" s="259"/>
      <c r="C7" s="244"/>
      <c r="D7" s="244"/>
      <c r="E7" s="237"/>
      <c r="F7" s="28" t="s">
        <v>35</v>
      </c>
      <c r="G7" s="28" t="s">
        <v>36</v>
      </c>
      <c r="H7" s="28" t="s">
        <v>37</v>
      </c>
      <c r="I7" s="237"/>
      <c r="J7" s="28" t="s">
        <v>38</v>
      </c>
      <c r="K7" s="28" t="s">
        <v>39</v>
      </c>
      <c r="L7" s="28" t="s">
        <v>40</v>
      </c>
      <c r="M7" s="237"/>
      <c r="N7" s="28" t="s">
        <v>41</v>
      </c>
      <c r="O7" s="28" t="s">
        <v>42</v>
      </c>
      <c r="P7" s="28" t="s">
        <v>43</v>
      </c>
      <c r="Q7" s="237"/>
      <c r="R7" s="28" t="s">
        <v>44</v>
      </c>
      <c r="S7" s="28" t="s">
        <v>45</v>
      </c>
      <c r="T7" s="28" t="s">
        <v>46</v>
      </c>
      <c r="U7" s="237"/>
      <c r="V7" s="244"/>
      <c r="W7" s="244"/>
      <c r="X7" s="245"/>
      <c r="Y7" s="241"/>
      <c r="Z7" s="241"/>
      <c r="AA7" s="237"/>
    </row>
    <row r="8" spans="1:27" x14ac:dyDescent="0.2">
      <c r="B8" s="260" t="s">
        <v>47</v>
      </c>
      <c r="C8" s="260"/>
      <c r="D8" s="260"/>
      <c r="E8" s="260"/>
      <c r="F8" s="260"/>
      <c r="G8" s="260"/>
      <c r="H8" s="260"/>
      <c r="I8" s="260"/>
      <c r="J8" s="260"/>
      <c r="K8" s="260"/>
      <c r="L8" s="260"/>
      <c r="M8" s="260"/>
      <c r="N8" s="260"/>
      <c r="O8" s="260"/>
      <c r="P8" s="260"/>
      <c r="Q8" s="260"/>
      <c r="R8" s="260"/>
      <c r="S8" s="260"/>
      <c r="T8" s="260"/>
      <c r="U8" s="260"/>
      <c r="V8" s="260"/>
      <c r="W8" s="260"/>
      <c r="X8" s="260"/>
      <c r="Y8" s="260"/>
      <c r="Z8" s="260"/>
      <c r="AA8" s="260"/>
    </row>
    <row r="9" spans="1:27" ht="26.25" x14ac:dyDescent="0.25">
      <c r="A9" s="29" t="s">
        <v>48</v>
      </c>
      <c r="B9" s="250" t="s">
        <v>49</v>
      </c>
      <c r="C9" s="251"/>
      <c r="D9" s="251"/>
      <c r="E9" s="251"/>
      <c r="F9" s="251"/>
      <c r="G9" s="251"/>
      <c r="H9" s="251"/>
      <c r="I9" s="251"/>
      <c r="J9" s="251"/>
      <c r="K9" s="251"/>
      <c r="L9" s="251"/>
      <c r="M9" s="251"/>
      <c r="N9" s="251"/>
      <c r="O9" s="251"/>
      <c r="P9" s="251"/>
      <c r="Q9" s="251"/>
      <c r="R9" s="251"/>
      <c r="S9" s="251"/>
      <c r="T9" s="251"/>
      <c r="U9" s="251"/>
      <c r="V9" s="251"/>
      <c r="W9" s="251"/>
      <c r="X9" s="251"/>
      <c r="Y9" s="251"/>
      <c r="Z9" s="251"/>
      <c r="AA9" s="252"/>
    </row>
    <row r="10" spans="1:27" ht="51" x14ac:dyDescent="0.2">
      <c r="A10" s="30">
        <v>1</v>
      </c>
      <c r="B10" s="31" t="s">
        <v>50</v>
      </c>
      <c r="C10" s="29" t="s">
        <v>51</v>
      </c>
      <c r="D10" s="28"/>
      <c r="E10" s="32"/>
      <c r="F10" s="230" t="s">
        <v>52</v>
      </c>
      <c r="G10" s="230" t="s">
        <v>52</v>
      </c>
      <c r="H10" s="230" t="s">
        <v>52</v>
      </c>
      <c r="I10" s="32"/>
      <c r="J10" s="230" t="s">
        <v>52</v>
      </c>
      <c r="K10" s="230" t="s">
        <v>52</v>
      </c>
      <c r="L10" s="230" t="s">
        <v>52</v>
      </c>
      <c r="M10" s="32"/>
      <c r="N10" s="230" t="s">
        <v>52</v>
      </c>
      <c r="O10" s="230" t="s">
        <v>52</v>
      </c>
      <c r="P10" s="230" t="s">
        <v>52</v>
      </c>
      <c r="Q10" s="32"/>
      <c r="R10" s="230" t="s">
        <v>52</v>
      </c>
      <c r="S10" s="230" t="s">
        <v>52</v>
      </c>
      <c r="T10" s="230" t="s">
        <v>52</v>
      </c>
      <c r="U10" s="32"/>
      <c r="V10" s="31" t="s">
        <v>53</v>
      </c>
      <c r="W10" s="28"/>
      <c r="X10" s="196">
        <v>8710</v>
      </c>
      <c r="Z10" s="28"/>
      <c r="AA10" s="34" t="s">
        <v>54</v>
      </c>
    </row>
    <row r="11" spans="1:27" ht="25.5" x14ac:dyDescent="0.2">
      <c r="A11" s="30">
        <f t="shared" ref="A11:A27" si="0">+A10+1</f>
        <v>2</v>
      </c>
      <c r="B11" s="31" t="s">
        <v>55</v>
      </c>
      <c r="C11" s="29" t="s">
        <v>56</v>
      </c>
      <c r="D11" s="28"/>
      <c r="E11" s="32"/>
      <c r="F11" s="230"/>
      <c r="G11" s="230"/>
      <c r="H11" s="230"/>
      <c r="I11" s="32"/>
      <c r="J11" s="230"/>
      <c r="K11" s="230" t="s">
        <v>52</v>
      </c>
      <c r="L11" s="230"/>
      <c r="M11" s="32"/>
      <c r="N11" s="230"/>
      <c r="O11" s="230"/>
      <c r="P11" s="230"/>
      <c r="Q11" s="32"/>
      <c r="R11" s="230"/>
      <c r="S11" s="230" t="s">
        <v>52</v>
      </c>
      <c r="T11" s="230"/>
      <c r="U11" s="32"/>
      <c r="V11" s="31" t="s">
        <v>57</v>
      </c>
      <c r="W11" s="28"/>
      <c r="X11" s="196">
        <v>1000</v>
      </c>
      <c r="Y11" s="28"/>
      <c r="Z11" s="28"/>
      <c r="AA11" s="34" t="s">
        <v>54</v>
      </c>
    </row>
    <row r="12" spans="1:27" ht="51" x14ac:dyDescent="0.2">
      <c r="A12" s="30">
        <f t="shared" si="0"/>
        <v>3</v>
      </c>
      <c r="B12" s="31" t="s">
        <v>58</v>
      </c>
      <c r="C12" s="29" t="s">
        <v>59</v>
      </c>
      <c r="D12" s="28"/>
      <c r="E12" s="32"/>
      <c r="F12" s="230" t="s">
        <v>52</v>
      </c>
      <c r="G12" s="230" t="s">
        <v>52</v>
      </c>
      <c r="H12" s="230" t="s">
        <v>52</v>
      </c>
      <c r="I12" s="32"/>
      <c r="J12" s="230" t="s">
        <v>52</v>
      </c>
      <c r="K12" s="230" t="s">
        <v>52</v>
      </c>
      <c r="L12" s="230" t="s">
        <v>52</v>
      </c>
      <c r="M12" s="32"/>
      <c r="N12" s="230" t="s">
        <v>52</v>
      </c>
      <c r="O12" s="230" t="s">
        <v>52</v>
      </c>
      <c r="P12" s="230" t="s">
        <v>52</v>
      </c>
      <c r="Q12" s="32"/>
      <c r="R12" s="230" t="s">
        <v>52</v>
      </c>
      <c r="S12" s="230" t="s">
        <v>52</v>
      </c>
      <c r="T12" s="230" t="s">
        <v>52</v>
      </c>
      <c r="U12" s="32"/>
      <c r="V12" s="31" t="s">
        <v>60</v>
      </c>
      <c r="W12" s="28"/>
      <c r="X12" s="196">
        <v>130288</v>
      </c>
      <c r="Y12" s="28"/>
      <c r="Z12" s="28"/>
      <c r="AA12" s="34" t="s">
        <v>54</v>
      </c>
    </row>
    <row r="13" spans="1:27" ht="30" customHeight="1" x14ac:dyDescent="0.2">
      <c r="A13" s="30">
        <f t="shared" si="0"/>
        <v>4</v>
      </c>
      <c r="B13" s="31" t="s">
        <v>61</v>
      </c>
      <c r="C13" s="29" t="s">
        <v>62</v>
      </c>
      <c r="D13" s="28"/>
      <c r="E13" s="32"/>
      <c r="F13" s="230" t="s">
        <v>52</v>
      </c>
      <c r="G13" s="230" t="s">
        <v>52</v>
      </c>
      <c r="H13" s="230" t="s">
        <v>52</v>
      </c>
      <c r="I13" s="32"/>
      <c r="J13" s="230" t="s">
        <v>52</v>
      </c>
      <c r="K13" s="230" t="s">
        <v>52</v>
      </c>
      <c r="L13" s="230" t="s">
        <v>52</v>
      </c>
      <c r="M13" s="32"/>
      <c r="N13" s="230" t="s">
        <v>52</v>
      </c>
      <c r="O13" s="230" t="s">
        <v>52</v>
      </c>
      <c r="P13" s="230" t="s">
        <v>52</v>
      </c>
      <c r="Q13" s="32"/>
      <c r="R13" s="230" t="s">
        <v>52</v>
      </c>
      <c r="S13" s="230" t="s">
        <v>52</v>
      </c>
      <c r="T13" s="230" t="s">
        <v>52</v>
      </c>
      <c r="U13" s="32"/>
      <c r="V13" s="31" t="s">
        <v>63</v>
      </c>
      <c r="W13" s="28"/>
      <c r="X13" s="196">
        <v>2400</v>
      </c>
      <c r="Y13" s="28"/>
      <c r="Z13" s="28"/>
      <c r="AA13" s="34" t="s">
        <v>54</v>
      </c>
    </row>
    <row r="14" spans="1:27" ht="25.5" x14ac:dyDescent="0.2">
      <c r="A14" s="30">
        <f t="shared" si="0"/>
        <v>5</v>
      </c>
      <c r="B14" s="31" t="s">
        <v>64</v>
      </c>
      <c r="C14" s="29" t="s">
        <v>65</v>
      </c>
      <c r="D14" s="28"/>
      <c r="E14" s="32"/>
      <c r="F14" s="230" t="s">
        <v>52</v>
      </c>
      <c r="G14" s="230" t="s">
        <v>52</v>
      </c>
      <c r="H14" s="230" t="s">
        <v>52</v>
      </c>
      <c r="I14" s="32"/>
      <c r="J14" s="230" t="s">
        <v>52</v>
      </c>
      <c r="K14" s="230" t="s">
        <v>52</v>
      </c>
      <c r="L14" s="230" t="s">
        <v>52</v>
      </c>
      <c r="M14" s="32"/>
      <c r="N14" s="230" t="s">
        <v>52</v>
      </c>
      <c r="O14" s="230" t="s">
        <v>52</v>
      </c>
      <c r="P14" s="230" t="s">
        <v>52</v>
      </c>
      <c r="Q14" s="32"/>
      <c r="R14" s="230" t="s">
        <v>52</v>
      </c>
      <c r="S14" s="230" t="s">
        <v>52</v>
      </c>
      <c r="T14" s="230" t="s">
        <v>52</v>
      </c>
      <c r="U14" s="32"/>
      <c r="V14" s="31" t="s">
        <v>66</v>
      </c>
      <c r="W14" s="28"/>
      <c r="X14" s="197">
        <v>9000</v>
      </c>
      <c r="Y14" s="28"/>
      <c r="Z14" s="28"/>
      <c r="AA14" s="34" t="s">
        <v>54</v>
      </c>
    </row>
    <row r="15" spans="1:27" ht="38.25" x14ac:dyDescent="0.2">
      <c r="A15" s="30">
        <f t="shared" si="0"/>
        <v>6</v>
      </c>
      <c r="B15" s="31" t="s">
        <v>67</v>
      </c>
      <c r="C15" s="29" t="s">
        <v>68</v>
      </c>
      <c r="D15" s="28"/>
      <c r="E15" s="32"/>
      <c r="F15" s="230"/>
      <c r="G15" s="230"/>
      <c r="H15" s="230"/>
      <c r="I15" s="32"/>
      <c r="J15" s="230"/>
      <c r="K15" s="230" t="s">
        <v>52</v>
      </c>
      <c r="L15" s="230"/>
      <c r="M15" s="32"/>
      <c r="N15" s="230"/>
      <c r="O15" s="230"/>
      <c r="P15" s="230"/>
      <c r="Q15" s="32"/>
      <c r="R15" s="230"/>
      <c r="S15" s="230"/>
      <c r="T15" s="230"/>
      <c r="U15" s="32"/>
      <c r="V15" s="31" t="s">
        <v>69</v>
      </c>
      <c r="W15" s="28"/>
      <c r="X15" s="196">
        <v>21250</v>
      </c>
      <c r="Y15" s="28"/>
      <c r="Z15" s="28"/>
      <c r="AA15" s="34" t="s">
        <v>54</v>
      </c>
    </row>
    <row r="16" spans="1:27" ht="25.5" x14ac:dyDescent="0.2">
      <c r="A16" s="30">
        <f t="shared" si="0"/>
        <v>7</v>
      </c>
      <c r="B16" s="31" t="s">
        <v>70</v>
      </c>
      <c r="C16" s="29" t="s">
        <v>71</v>
      </c>
      <c r="D16" s="28"/>
      <c r="E16" s="32"/>
      <c r="F16" s="230"/>
      <c r="G16" s="230" t="s">
        <v>52</v>
      </c>
      <c r="H16" s="230"/>
      <c r="I16" s="32"/>
      <c r="J16" s="230"/>
      <c r="K16" s="230"/>
      <c r="L16" s="230"/>
      <c r="M16" s="32"/>
      <c r="N16" s="230"/>
      <c r="O16" s="230"/>
      <c r="P16" s="230"/>
      <c r="Q16" s="32"/>
      <c r="R16" s="230"/>
      <c r="S16" s="230"/>
      <c r="T16" s="230"/>
      <c r="U16" s="32"/>
      <c r="V16" s="31" t="s">
        <v>72</v>
      </c>
      <c r="W16" s="28"/>
      <c r="X16" s="196">
        <v>12600</v>
      </c>
      <c r="Y16" s="28"/>
      <c r="Z16" s="28"/>
      <c r="AA16" s="34" t="s">
        <v>54</v>
      </c>
    </row>
    <row r="17" spans="1:27" ht="38.25" x14ac:dyDescent="0.2">
      <c r="A17" s="30">
        <f t="shared" si="0"/>
        <v>8</v>
      </c>
      <c r="B17" s="31" t="s">
        <v>73</v>
      </c>
      <c r="C17" s="29" t="s">
        <v>74</v>
      </c>
      <c r="D17" s="28"/>
      <c r="E17" s="32"/>
      <c r="F17" s="230"/>
      <c r="G17" s="230" t="s">
        <v>52</v>
      </c>
      <c r="H17" s="230"/>
      <c r="I17" s="32"/>
      <c r="J17" s="230"/>
      <c r="K17" s="230" t="s">
        <v>52</v>
      </c>
      <c r="L17" s="230"/>
      <c r="M17" s="32"/>
      <c r="N17" s="230"/>
      <c r="O17" s="230" t="s">
        <v>52</v>
      </c>
      <c r="P17" s="230"/>
      <c r="Q17" s="32"/>
      <c r="R17" s="230"/>
      <c r="S17" s="230" t="s">
        <v>52</v>
      </c>
      <c r="T17" s="230"/>
      <c r="U17" s="32"/>
      <c r="V17" s="31" t="s">
        <v>75</v>
      </c>
      <c r="W17" s="28"/>
      <c r="X17" s="196">
        <v>2400</v>
      </c>
      <c r="Y17" s="28"/>
      <c r="Z17" s="28"/>
      <c r="AA17" s="34" t="s">
        <v>54</v>
      </c>
    </row>
    <row r="18" spans="1:27" ht="51" x14ac:dyDescent="0.2">
      <c r="A18" s="30">
        <f t="shared" si="0"/>
        <v>9</v>
      </c>
      <c r="B18" s="31" t="s">
        <v>76</v>
      </c>
      <c r="C18" s="29" t="s">
        <v>77</v>
      </c>
      <c r="D18" s="28"/>
      <c r="E18" s="32"/>
      <c r="F18" s="230" t="s">
        <v>52</v>
      </c>
      <c r="G18" s="230" t="s">
        <v>52</v>
      </c>
      <c r="H18" s="230" t="s">
        <v>52</v>
      </c>
      <c r="I18" s="32"/>
      <c r="J18" s="230" t="s">
        <v>52</v>
      </c>
      <c r="K18" s="230" t="s">
        <v>52</v>
      </c>
      <c r="L18" s="230" t="s">
        <v>52</v>
      </c>
      <c r="M18" s="32"/>
      <c r="N18" s="230" t="s">
        <v>52</v>
      </c>
      <c r="O18" s="230" t="s">
        <v>52</v>
      </c>
      <c r="P18" s="230" t="s">
        <v>52</v>
      </c>
      <c r="Q18" s="32"/>
      <c r="R18" s="230" t="s">
        <v>52</v>
      </c>
      <c r="S18" s="230" t="s">
        <v>52</v>
      </c>
      <c r="T18" s="230" t="s">
        <v>52</v>
      </c>
      <c r="U18" s="32"/>
      <c r="V18" s="31" t="s">
        <v>78</v>
      </c>
      <c r="W18" s="28"/>
      <c r="X18" s="196">
        <v>37746</v>
      </c>
      <c r="Y18" s="28"/>
      <c r="Z18" s="28"/>
      <c r="AA18" s="34" t="s">
        <v>54</v>
      </c>
    </row>
    <row r="19" spans="1:27" ht="25.5" x14ac:dyDescent="0.2">
      <c r="A19" s="30">
        <f t="shared" si="0"/>
        <v>10</v>
      </c>
      <c r="B19" s="31" t="s">
        <v>79</v>
      </c>
      <c r="C19" s="29" t="s">
        <v>80</v>
      </c>
      <c r="D19" s="28"/>
      <c r="E19" s="32"/>
      <c r="F19" s="230"/>
      <c r="G19" s="230"/>
      <c r="H19" s="230" t="s">
        <v>52</v>
      </c>
      <c r="I19" s="32"/>
      <c r="J19" s="230"/>
      <c r="K19" s="230"/>
      <c r="L19" s="230" t="s">
        <v>52</v>
      </c>
      <c r="M19" s="32"/>
      <c r="N19" s="230"/>
      <c r="O19" s="230"/>
      <c r="P19" s="230"/>
      <c r="Q19" s="32"/>
      <c r="R19" s="230"/>
      <c r="S19" s="230" t="s">
        <v>52</v>
      </c>
      <c r="T19" s="230"/>
      <c r="U19" s="32"/>
      <c r="V19" s="31" t="s">
        <v>81</v>
      </c>
      <c r="W19" s="28"/>
      <c r="X19" s="196">
        <v>2700</v>
      </c>
      <c r="Y19" s="28"/>
      <c r="Z19" s="28"/>
      <c r="AA19" s="34" t="s">
        <v>54</v>
      </c>
    </row>
    <row r="20" spans="1:27" ht="25.5" x14ac:dyDescent="0.2">
      <c r="A20" s="30">
        <f t="shared" si="0"/>
        <v>11</v>
      </c>
      <c r="B20" s="31" t="s">
        <v>82</v>
      </c>
      <c r="C20" s="29" t="s">
        <v>83</v>
      </c>
      <c r="D20" s="28"/>
      <c r="E20" s="32"/>
      <c r="F20" s="230" t="s">
        <v>52</v>
      </c>
      <c r="G20" s="230" t="s">
        <v>52</v>
      </c>
      <c r="H20" s="230" t="s">
        <v>52</v>
      </c>
      <c r="I20" s="32"/>
      <c r="J20" s="230" t="s">
        <v>52</v>
      </c>
      <c r="K20" s="230" t="s">
        <v>52</v>
      </c>
      <c r="L20" s="230" t="s">
        <v>52</v>
      </c>
      <c r="M20" s="32"/>
      <c r="N20" s="230" t="s">
        <v>52</v>
      </c>
      <c r="O20" s="230" t="s">
        <v>52</v>
      </c>
      <c r="P20" s="230" t="s">
        <v>52</v>
      </c>
      <c r="Q20" s="32"/>
      <c r="R20" s="230" t="s">
        <v>52</v>
      </c>
      <c r="S20" s="230" t="s">
        <v>52</v>
      </c>
      <c r="T20" s="230" t="s">
        <v>52</v>
      </c>
      <c r="U20" s="32"/>
      <c r="V20" s="31" t="s">
        <v>84</v>
      </c>
      <c r="W20" s="28"/>
      <c r="X20" s="196">
        <v>365</v>
      </c>
      <c r="Y20" s="28"/>
      <c r="Z20" s="28"/>
      <c r="AA20" s="34" t="s">
        <v>54</v>
      </c>
    </row>
    <row r="21" spans="1:27" ht="25.5" x14ac:dyDescent="0.2">
      <c r="A21" s="30">
        <f t="shared" si="0"/>
        <v>12</v>
      </c>
      <c r="B21" s="31" t="s">
        <v>85</v>
      </c>
      <c r="C21" s="29" t="s">
        <v>86</v>
      </c>
      <c r="D21" s="28"/>
      <c r="E21" s="32"/>
      <c r="F21" s="230" t="s">
        <v>52</v>
      </c>
      <c r="G21" s="230" t="s">
        <v>52</v>
      </c>
      <c r="H21" s="230" t="s">
        <v>52</v>
      </c>
      <c r="I21" s="32"/>
      <c r="J21" s="230" t="s">
        <v>52</v>
      </c>
      <c r="K21" s="230" t="s">
        <v>52</v>
      </c>
      <c r="L21" s="230" t="s">
        <v>52</v>
      </c>
      <c r="M21" s="32"/>
      <c r="N21" s="230" t="s">
        <v>52</v>
      </c>
      <c r="O21" s="230" t="s">
        <v>52</v>
      </c>
      <c r="P21" s="230" t="s">
        <v>52</v>
      </c>
      <c r="Q21" s="32"/>
      <c r="R21" s="230" t="s">
        <v>52</v>
      </c>
      <c r="S21" s="230" t="s">
        <v>52</v>
      </c>
      <c r="T21" s="230" t="s">
        <v>52</v>
      </c>
      <c r="U21" s="32"/>
      <c r="V21" s="31" t="s">
        <v>87</v>
      </c>
      <c r="W21" s="28"/>
      <c r="X21" s="196">
        <v>28978</v>
      </c>
      <c r="Y21" s="28"/>
      <c r="Z21" s="28"/>
      <c r="AA21" s="34" t="s">
        <v>54</v>
      </c>
    </row>
    <row r="22" spans="1:27" ht="25.5" x14ac:dyDescent="0.2">
      <c r="A22" s="30">
        <f t="shared" si="0"/>
        <v>13</v>
      </c>
      <c r="B22" s="31" t="s">
        <v>88</v>
      </c>
      <c r="C22" s="29" t="s">
        <v>89</v>
      </c>
      <c r="D22" s="28"/>
      <c r="E22" s="32"/>
      <c r="F22" s="230" t="s">
        <v>52</v>
      </c>
      <c r="G22" s="230" t="s">
        <v>52</v>
      </c>
      <c r="H22" s="230" t="s">
        <v>52</v>
      </c>
      <c r="I22" s="32"/>
      <c r="J22" s="230" t="s">
        <v>52</v>
      </c>
      <c r="K22" s="230" t="s">
        <v>52</v>
      </c>
      <c r="L22" s="230" t="s">
        <v>52</v>
      </c>
      <c r="M22" s="32"/>
      <c r="N22" s="230" t="s">
        <v>52</v>
      </c>
      <c r="O22" s="230" t="s">
        <v>52</v>
      </c>
      <c r="P22" s="230" t="s">
        <v>52</v>
      </c>
      <c r="Q22" s="32"/>
      <c r="R22" s="230" t="s">
        <v>52</v>
      </c>
      <c r="S22" s="230" t="s">
        <v>52</v>
      </c>
      <c r="T22" s="230" t="s">
        <v>52</v>
      </c>
      <c r="U22" s="32"/>
      <c r="V22" s="31" t="s">
        <v>90</v>
      </c>
      <c r="W22" s="28"/>
      <c r="X22" s="196">
        <v>10272</v>
      </c>
      <c r="Y22" s="28"/>
      <c r="Z22" s="28"/>
      <c r="AA22" s="34" t="s">
        <v>54</v>
      </c>
    </row>
    <row r="23" spans="1:27" ht="25.5" x14ac:dyDescent="0.2">
      <c r="A23" s="30">
        <f t="shared" si="0"/>
        <v>14</v>
      </c>
      <c r="B23" s="31" t="s">
        <v>91</v>
      </c>
      <c r="C23" s="29" t="s">
        <v>92</v>
      </c>
      <c r="D23" s="28"/>
      <c r="E23" s="32"/>
      <c r="F23" s="230" t="s">
        <v>52</v>
      </c>
      <c r="G23" s="230" t="s">
        <v>52</v>
      </c>
      <c r="H23" s="230" t="s">
        <v>52</v>
      </c>
      <c r="I23" s="32"/>
      <c r="J23" s="230" t="s">
        <v>52</v>
      </c>
      <c r="K23" s="230" t="s">
        <v>52</v>
      </c>
      <c r="L23" s="230" t="s">
        <v>52</v>
      </c>
      <c r="M23" s="32"/>
      <c r="N23" s="230" t="s">
        <v>52</v>
      </c>
      <c r="O23" s="230" t="s">
        <v>52</v>
      </c>
      <c r="P23" s="230" t="s">
        <v>52</v>
      </c>
      <c r="Q23" s="32"/>
      <c r="R23" s="230" t="s">
        <v>52</v>
      </c>
      <c r="S23" s="230" t="s">
        <v>52</v>
      </c>
      <c r="T23" s="230" t="s">
        <v>52</v>
      </c>
      <c r="U23" s="32"/>
      <c r="V23" s="31" t="s">
        <v>93</v>
      </c>
      <c r="W23" s="28"/>
      <c r="X23" s="196">
        <v>12656</v>
      </c>
      <c r="Y23" s="28"/>
      <c r="Z23" s="28"/>
      <c r="AA23" s="34" t="s">
        <v>54</v>
      </c>
    </row>
    <row r="24" spans="1:27" ht="38.25" x14ac:dyDescent="0.2">
      <c r="A24" s="30">
        <f t="shared" si="0"/>
        <v>15</v>
      </c>
      <c r="B24" s="31" t="s">
        <v>94</v>
      </c>
      <c r="C24" s="29" t="s">
        <v>95</v>
      </c>
      <c r="D24" s="28"/>
      <c r="E24" s="32"/>
      <c r="F24" s="230" t="s">
        <v>52</v>
      </c>
      <c r="G24" s="230" t="s">
        <v>52</v>
      </c>
      <c r="H24" s="230" t="s">
        <v>52</v>
      </c>
      <c r="I24" s="32"/>
      <c r="J24" s="230" t="s">
        <v>52</v>
      </c>
      <c r="K24" s="230" t="s">
        <v>52</v>
      </c>
      <c r="L24" s="230" t="s">
        <v>52</v>
      </c>
      <c r="M24" s="32"/>
      <c r="N24" s="230" t="s">
        <v>52</v>
      </c>
      <c r="O24" s="230" t="s">
        <v>52</v>
      </c>
      <c r="P24" s="230" t="s">
        <v>52</v>
      </c>
      <c r="Q24" s="32"/>
      <c r="R24" s="230" t="s">
        <v>52</v>
      </c>
      <c r="S24" s="230" t="s">
        <v>52</v>
      </c>
      <c r="T24" s="230" t="s">
        <v>52</v>
      </c>
      <c r="U24" s="32"/>
      <c r="V24" s="31" t="s">
        <v>96</v>
      </c>
      <c r="W24" s="28"/>
      <c r="X24" s="196">
        <v>5600</v>
      </c>
      <c r="Y24" s="28"/>
      <c r="Z24" s="28"/>
      <c r="AA24" s="34" t="s">
        <v>54</v>
      </c>
    </row>
    <row r="25" spans="1:27" ht="25.5" x14ac:dyDescent="0.2">
      <c r="A25" s="30">
        <f t="shared" si="0"/>
        <v>16</v>
      </c>
      <c r="B25" s="31" t="s">
        <v>97</v>
      </c>
      <c r="C25" s="29" t="s">
        <v>98</v>
      </c>
      <c r="D25" s="28"/>
      <c r="E25" s="32"/>
      <c r="F25" s="230" t="s">
        <v>52</v>
      </c>
      <c r="G25" s="230" t="s">
        <v>52</v>
      </c>
      <c r="H25" s="230" t="s">
        <v>52</v>
      </c>
      <c r="I25" s="32"/>
      <c r="J25" s="230" t="s">
        <v>52</v>
      </c>
      <c r="K25" s="230" t="s">
        <v>52</v>
      </c>
      <c r="L25" s="230" t="s">
        <v>52</v>
      </c>
      <c r="M25" s="32"/>
      <c r="N25" s="230" t="s">
        <v>52</v>
      </c>
      <c r="O25" s="230" t="s">
        <v>52</v>
      </c>
      <c r="P25" s="230" t="s">
        <v>52</v>
      </c>
      <c r="Q25" s="32"/>
      <c r="R25" s="230" t="s">
        <v>52</v>
      </c>
      <c r="S25" s="230" t="s">
        <v>52</v>
      </c>
      <c r="T25" s="230" t="s">
        <v>52</v>
      </c>
      <c r="U25" s="32"/>
      <c r="V25" s="31" t="s">
        <v>99</v>
      </c>
      <c r="W25" s="28"/>
      <c r="X25" s="196">
        <v>15800</v>
      </c>
      <c r="Y25" s="28"/>
      <c r="Z25" s="28"/>
      <c r="AA25" s="34" t="s">
        <v>54</v>
      </c>
    </row>
    <row r="26" spans="1:27" ht="25.5" x14ac:dyDescent="0.2">
      <c r="A26" s="30">
        <f t="shared" si="0"/>
        <v>17</v>
      </c>
      <c r="B26" s="31" t="s">
        <v>100</v>
      </c>
      <c r="C26" s="29" t="s">
        <v>101</v>
      </c>
      <c r="D26" s="28"/>
      <c r="E26" s="32"/>
      <c r="F26" s="230" t="s">
        <v>52</v>
      </c>
      <c r="G26" s="230"/>
      <c r="H26" s="230"/>
      <c r="I26" s="32"/>
      <c r="J26" s="230"/>
      <c r="K26" s="230"/>
      <c r="L26" s="230"/>
      <c r="M26" s="32"/>
      <c r="N26" s="230"/>
      <c r="O26" s="230"/>
      <c r="P26" s="230"/>
      <c r="Q26" s="32"/>
      <c r="R26" s="230"/>
      <c r="S26" s="230"/>
      <c r="T26" s="230"/>
      <c r="U26" s="32"/>
      <c r="V26" s="31" t="s">
        <v>102</v>
      </c>
      <c r="W26" s="28"/>
      <c r="X26" s="196">
        <v>7000</v>
      </c>
      <c r="Y26" s="28"/>
      <c r="Z26" s="28"/>
      <c r="AA26" s="34" t="s">
        <v>54</v>
      </c>
    </row>
    <row r="27" spans="1:27" ht="38.25" x14ac:dyDescent="0.2">
      <c r="A27" s="28">
        <f t="shared" si="0"/>
        <v>18</v>
      </c>
      <c r="B27" s="31" t="s">
        <v>103</v>
      </c>
      <c r="C27" s="29" t="s">
        <v>104</v>
      </c>
      <c r="D27" s="28"/>
      <c r="E27" s="32"/>
      <c r="F27" s="230" t="s">
        <v>52</v>
      </c>
      <c r="G27" s="230" t="s">
        <v>52</v>
      </c>
      <c r="H27" s="230" t="s">
        <v>52</v>
      </c>
      <c r="I27" s="32"/>
      <c r="J27" s="230" t="s">
        <v>52</v>
      </c>
      <c r="K27" s="230" t="s">
        <v>52</v>
      </c>
      <c r="L27" s="230" t="s">
        <v>52</v>
      </c>
      <c r="M27" s="32"/>
      <c r="N27" s="230" t="s">
        <v>52</v>
      </c>
      <c r="O27" s="230" t="s">
        <v>52</v>
      </c>
      <c r="P27" s="230" t="s">
        <v>52</v>
      </c>
      <c r="Q27" s="32"/>
      <c r="R27" s="230" t="s">
        <v>52</v>
      </c>
      <c r="S27" s="230" t="s">
        <v>52</v>
      </c>
      <c r="T27" s="230" t="s">
        <v>52</v>
      </c>
      <c r="U27" s="32"/>
      <c r="V27" s="31" t="s">
        <v>105</v>
      </c>
      <c r="W27" s="28"/>
      <c r="X27" s="196">
        <v>2400</v>
      </c>
      <c r="Y27" s="28"/>
      <c r="Z27" s="28"/>
      <c r="AA27" s="34" t="s">
        <v>54</v>
      </c>
    </row>
    <row r="28" spans="1:27" ht="13.5" x14ac:dyDescent="0.25">
      <c r="A28" s="28"/>
      <c r="B28" s="250" t="s">
        <v>106</v>
      </c>
      <c r="C28" s="251"/>
      <c r="D28" s="251"/>
      <c r="E28" s="251"/>
      <c r="F28" s="251"/>
      <c r="G28" s="251"/>
      <c r="H28" s="251"/>
      <c r="I28" s="251"/>
      <c r="J28" s="251"/>
      <c r="K28" s="251"/>
      <c r="L28" s="251"/>
      <c r="M28" s="251"/>
      <c r="N28" s="251"/>
      <c r="O28" s="251"/>
      <c r="P28" s="251"/>
      <c r="Q28" s="251"/>
      <c r="R28" s="251"/>
      <c r="S28" s="251"/>
      <c r="T28" s="251"/>
      <c r="U28" s="251"/>
      <c r="V28" s="251"/>
      <c r="W28" s="251"/>
      <c r="X28" s="251"/>
      <c r="Y28" s="251"/>
      <c r="Z28" s="251"/>
      <c r="AA28" s="252"/>
    </row>
    <row r="29" spans="1:27" ht="25.5" x14ac:dyDescent="0.2">
      <c r="A29" s="30">
        <f>+A28+1</f>
        <v>1</v>
      </c>
      <c r="B29" s="31" t="s">
        <v>107</v>
      </c>
      <c r="C29" s="31" t="s">
        <v>108</v>
      </c>
      <c r="D29" s="28"/>
      <c r="E29" s="32"/>
      <c r="F29" s="230"/>
      <c r="G29" s="230" t="s">
        <v>52</v>
      </c>
      <c r="H29" s="230"/>
      <c r="I29" s="32"/>
      <c r="J29" s="230"/>
      <c r="K29" s="230" t="s">
        <v>52</v>
      </c>
      <c r="L29" s="230"/>
      <c r="M29" s="32"/>
      <c r="N29" s="230"/>
      <c r="O29" s="230" t="s">
        <v>52</v>
      </c>
      <c r="P29" s="230"/>
      <c r="Q29" s="32"/>
      <c r="R29" s="230"/>
      <c r="S29" s="230" t="s">
        <v>52</v>
      </c>
      <c r="T29" s="230"/>
      <c r="U29" s="32"/>
      <c r="V29" s="29" t="s">
        <v>109</v>
      </c>
      <c r="W29" s="28"/>
      <c r="X29" s="33">
        <v>8422</v>
      </c>
      <c r="Y29" s="28"/>
      <c r="Z29" s="28"/>
      <c r="AA29" s="29" t="s">
        <v>110</v>
      </c>
    </row>
    <row r="30" spans="1:27" ht="38.25" x14ac:dyDescent="0.2">
      <c r="A30" s="30">
        <f>+A29+1</f>
        <v>2</v>
      </c>
      <c r="B30" s="31" t="s">
        <v>111</v>
      </c>
      <c r="C30" s="29" t="s">
        <v>112</v>
      </c>
      <c r="D30" s="28"/>
      <c r="E30" s="32"/>
      <c r="F30" s="230" t="s">
        <v>52</v>
      </c>
      <c r="G30" s="230" t="s">
        <v>52</v>
      </c>
      <c r="H30" s="230" t="s">
        <v>52</v>
      </c>
      <c r="I30" s="32"/>
      <c r="J30" s="230"/>
      <c r="K30" s="230"/>
      <c r="L30" s="230"/>
      <c r="M30" s="32"/>
      <c r="N30" s="230"/>
      <c r="O30" s="230"/>
      <c r="P30" s="230"/>
      <c r="Q30" s="32"/>
      <c r="R30" s="230"/>
      <c r="S30" s="230"/>
      <c r="T30" s="230"/>
      <c r="U30" s="32"/>
      <c r="V30" s="31" t="s">
        <v>113</v>
      </c>
      <c r="W30" s="28"/>
      <c r="X30" s="33">
        <v>2595</v>
      </c>
      <c r="Y30" s="28"/>
      <c r="Z30" s="28"/>
      <c r="AA30" s="29" t="s">
        <v>110</v>
      </c>
    </row>
    <row r="31" spans="1:27" ht="13.5" x14ac:dyDescent="0.25">
      <c r="A31" s="28"/>
      <c r="B31" s="250" t="s">
        <v>114</v>
      </c>
      <c r="C31" s="251"/>
      <c r="D31" s="251"/>
      <c r="E31" s="251"/>
      <c r="F31" s="251"/>
      <c r="G31" s="251"/>
      <c r="H31" s="251"/>
      <c r="I31" s="251"/>
      <c r="J31" s="251"/>
      <c r="K31" s="251"/>
      <c r="L31" s="251"/>
      <c r="M31" s="251"/>
      <c r="N31" s="251"/>
      <c r="O31" s="251"/>
      <c r="P31" s="251"/>
      <c r="Q31" s="251"/>
      <c r="R31" s="251"/>
      <c r="S31" s="251"/>
      <c r="T31" s="251"/>
      <c r="U31" s="251"/>
      <c r="V31" s="251"/>
      <c r="W31" s="251"/>
      <c r="X31" s="251"/>
      <c r="Y31" s="251"/>
      <c r="Z31" s="251"/>
      <c r="AA31" s="252"/>
    </row>
    <row r="32" spans="1:27" ht="38.25" x14ac:dyDescent="0.2">
      <c r="A32" s="30">
        <f>+A31+1</f>
        <v>1</v>
      </c>
      <c r="B32" s="31" t="s">
        <v>115</v>
      </c>
      <c r="C32" s="31" t="s">
        <v>116</v>
      </c>
      <c r="D32" s="28"/>
      <c r="E32" s="32"/>
      <c r="F32" s="230"/>
      <c r="G32" s="230"/>
      <c r="H32" s="230"/>
      <c r="I32" s="32"/>
      <c r="J32" s="230"/>
      <c r="K32" s="230"/>
      <c r="L32" s="230" t="s">
        <v>52</v>
      </c>
      <c r="M32" s="32"/>
      <c r="N32" s="230"/>
      <c r="O32" s="230"/>
      <c r="P32" s="230"/>
      <c r="Q32" s="32"/>
      <c r="R32" s="230"/>
      <c r="S32" s="230"/>
      <c r="T32" s="230"/>
      <c r="U32" s="32"/>
      <c r="V32" s="31" t="s">
        <v>117</v>
      </c>
      <c r="W32" s="28"/>
      <c r="X32" s="36">
        <v>500</v>
      </c>
      <c r="Y32" s="28"/>
      <c r="Z32" s="28"/>
      <c r="AA32" s="29" t="s">
        <v>118</v>
      </c>
    </row>
    <row r="33" spans="1:27" ht="25.5" x14ac:dyDescent="0.2">
      <c r="A33" s="30">
        <f>+A32+1</f>
        <v>2</v>
      </c>
      <c r="B33" s="31" t="s">
        <v>119</v>
      </c>
      <c r="C33" s="31" t="s">
        <v>120</v>
      </c>
      <c r="D33" s="28"/>
      <c r="E33" s="32"/>
      <c r="F33" s="230" t="s">
        <v>52</v>
      </c>
      <c r="G33" s="230" t="s">
        <v>52</v>
      </c>
      <c r="H33" s="230" t="s">
        <v>52</v>
      </c>
      <c r="I33" s="32"/>
      <c r="J33" s="230" t="s">
        <v>52</v>
      </c>
      <c r="K33" s="230" t="s">
        <v>52</v>
      </c>
      <c r="L33" s="230" t="s">
        <v>52</v>
      </c>
      <c r="M33" s="32"/>
      <c r="N33" s="230" t="s">
        <v>52</v>
      </c>
      <c r="O33" s="230" t="s">
        <v>52</v>
      </c>
      <c r="P33" s="230" t="s">
        <v>52</v>
      </c>
      <c r="Q33" s="32"/>
      <c r="R33" s="230" t="s">
        <v>52</v>
      </c>
      <c r="S33" s="230" t="s">
        <v>52</v>
      </c>
      <c r="T33" s="230" t="s">
        <v>52</v>
      </c>
      <c r="U33" s="32"/>
      <c r="V33" s="31" t="s">
        <v>121</v>
      </c>
      <c r="W33" s="28"/>
      <c r="X33" s="33">
        <v>20000</v>
      </c>
      <c r="Y33" s="28"/>
      <c r="Z33" s="28"/>
      <c r="AA33" s="29" t="s">
        <v>118</v>
      </c>
    </row>
    <row r="34" spans="1:27" ht="13.5" x14ac:dyDescent="0.25">
      <c r="A34" s="28"/>
      <c r="B34" s="250" t="s">
        <v>122</v>
      </c>
      <c r="C34" s="251"/>
      <c r="D34" s="251"/>
      <c r="E34" s="251"/>
      <c r="F34" s="251"/>
      <c r="G34" s="251"/>
      <c r="H34" s="251"/>
      <c r="I34" s="251"/>
      <c r="J34" s="251"/>
      <c r="K34" s="251"/>
      <c r="L34" s="251"/>
      <c r="M34" s="251"/>
      <c r="N34" s="251"/>
      <c r="O34" s="251"/>
      <c r="P34" s="251"/>
      <c r="Q34" s="251"/>
      <c r="R34" s="251"/>
      <c r="S34" s="251"/>
      <c r="T34" s="251"/>
      <c r="U34" s="251"/>
      <c r="V34" s="251"/>
      <c r="W34" s="251"/>
      <c r="X34" s="251"/>
      <c r="Y34" s="251"/>
      <c r="Z34" s="251"/>
      <c r="AA34" s="252"/>
    </row>
    <row r="35" spans="1:27" ht="36.75" customHeight="1" x14ac:dyDescent="0.2">
      <c r="A35" s="30">
        <f>+A34+1</f>
        <v>1</v>
      </c>
      <c r="B35" s="31" t="s">
        <v>123</v>
      </c>
      <c r="C35" s="31" t="s">
        <v>124</v>
      </c>
      <c r="D35" s="29" t="s">
        <v>125</v>
      </c>
      <c r="E35" s="32"/>
      <c r="F35" s="230" t="s">
        <v>52</v>
      </c>
      <c r="G35" s="230" t="s">
        <v>52</v>
      </c>
      <c r="H35" s="230" t="s">
        <v>52</v>
      </c>
      <c r="I35" s="32"/>
      <c r="J35" s="230" t="s">
        <v>52</v>
      </c>
      <c r="K35" s="230" t="s">
        <v>52</v>
      </c>
      <c r="L35" s="230" t="s">
        <v>52</v>
      </c>
      <c r="M35" s="32"/>
      <c r="N35" s="230" t="s">
        <v>52</v>
      </c>
      <c r="O35" s="230" t="s">
        <v>52</v>
      </c>
      <c r="P35" s="230" t="s">
        <v>52</v>
      </c>
      <c r="Q35" s="32"/>
      <c r="R35" s="230" t="s">
        <v>52</v>
      </c>
      <c r="S35" s="230" t="s">
        <v>52</v>
      </c>
      <c r="T35" s="230" t="s">
        <v>52</v>
      </c>
      <c r="U35" s="32"/>
      <c r="V35" s="29" t="s">
        <v>126</v>
      </c>
      <c r="W35" s="28"/>
      <c r="X35" s="33">
        <v>1750</v>
      </c>
      <c r="Y35" s="28"/>
      <c r="Z35" s="28"/>
      <c r="AA35" s="29" t="s">
        <v>127</v>
      </c>
    </row>
    <row r="36" spans="1:27" x14ac:dyDescent="0.2">
      <c r="A36" s="28"/>
      <c r="B36" s="253" t="s">
        <v>128</v>
      </c>
      <c r="C36" s="254"/>
      <c r="D36" s="254"/>
      <c r="E36" s="254"/>
      <c r="F36" s="254"/>
      <c r="G36" s="254"/>
      <c r="H36" s="254"/>
      <c r="I36" s="254"/>
      <c r="J36" s="254"/>
      <c r="K36" s="254"/>
      <c r="L36" s="254"/>
      <c r="M36" s="254"/>
      <c r="N36" s="254"/>
      <c r="O36" s="254"/>
      <c r="P36" s="254"/>
      <c r="Q36" s="254"/>
      <c r="R36" s="254"/>
      <c r="S36" s="254"/>
      <c r="T36" s="254"/>
      <c r="U36" s="254"/>
      <c r="V36" s="254"/>
      <c r="W36" s="254"/>
      <c r="X36" s="254"/>
      <c r="Y36" s="254"/>
      <c r="Z36" s="254"/>
      <c r="AA36" s="255"/>
    </row>
    <row r="37" spans="1:27" ht="13.5" x14ac:dyDescent="0.25">
      <c r="A37" s="28"/>
      <c r="B37" s="250" t="s">
        <v>129</v>
      </c>
      <c r="C37" s="251"/>
      <c r="D37" s="251"/>
      <c r="E37" s="251"/>
      <c r="F37" s="251"/>
      <c r="G37" s="251"/>
      <c r="H37" s="251"/>
      <c r="I37" s="251"/>
      <c r="J37" s="251"/>
      <c r="K37" s="251"/>
      <c r="L37" s="251"/>
      <c r="M37" s="251"/>
      <c r="N37" s="251"/>
      <c r="O37" s="251"/>
      <c r="P37" s="251"/>
      <c r="Q37" s="251"/>
      <c r="R37" s="251"/>
      <c r="S37" s="251"/>
      <c r="T37" s="251"/>
      <c r="U37" s="251"/>
      <c r="V37" s="251"/>
      <c r="W37" s="251"/>
      <c r="X37" s="251"/>
      <c r="Y37" s="251"/>
      <c r="Z37" s="251"/>
      <c r="AA37" s="252"/>
    </row>
    <row r="38" spans="1:27" ht="51" x14ac:dyDescent="0.2">
      <c r="A38" s="30">
        <f>+A37+1</f>
        <v>1</v>
      </c>
      <c r="B38" s="31" t="s">
        <v>130</v>
      </c>
      <c r="C38" s="29" t="s">
        <v>131</v>
      </c>
      <c r="D38" s="31" t="s">
        <v>132</v>
      </c>
      <c r="E38" s="32"/>
      <c r="F38" s="230" t="s">
        <v>52</v>
      </c>
      <c r="G38" s="230" t="s">
        <v>52</v>
      </c>
      <c r="H38" s="230" t="s">
        <v>52</v>
      </c>
      <c r="I38" s="32"/>
      <c r="J38" s="230"/>
      <c r="K38" s="230"/>
      <c r="L38" s="230"/>
      <c r="M38" s="32"/>
      <c r="N38" s="230"/>
      <c r="O38" s="230"/>
      <c r="P38" s="230"/>
      <c r="Q38" s="32"/>
      <c r="R38" s="230"/>
      <c r="S38" s="230"/>
      <c r="T38" s="230"/>
      <c r="U38" s="32"/>
      <c r="V38" s="31" t="s">
        <v>133</v>
      </c>
      <c r="W38" s="28"/>
      <c r="X38" s="37">
        <v>2500</v>
      </c>
      <c r="Y38" s="28"/>
      <c r="Z38" s="28"/>
      <c r="AA38" s="29" t="s">
        <v>134</v>
      </c>
    </row>
    <row r="39" spans="1:27" ht="45" customHeight="1" x14ac:dyDescent="0.2">
      <c r="A39" s="30">
        <f>+A38+1</f>
        <v>2</v>
      </c>
      <c r="B39" s="31" t="s">
        <v>135</v>
      </c>
      <c r="C39" s="29" t="s">
        <v>136</v>
      </c>
      <c r="D39" s="31" t="s">
        <v>132</v>
      </c>
      <c r="E39" s="32"/>
      <c r="F39" s="230" t="s">
        <v>52</v>
      </c>
      <c r="G39" s="230" t="s">
        <v>52</v>
      </c>
      <c r="H39" s="230" t="s">
        <v>52</v>
      </c>
      <c r="I39" s="32"/>
      <c r="J39" s="230"/>
      <c r="K39" s="230"/>
      <c r="L39" s="230"/>
      <c r="M39" s="32"/>
      <c r="N39" s="230"/>
      <c r="O39" s="230"/>
      <c r="P39" s="230"/>
      <c r="Q39" s="32"/>
      <c r="R39" s="230"/>
      <c r="S39" s="230"/>
      <c r="T39" s="230"/>
      <c r="U39" s="32"/>
      <c r="V39" s="31" t="s">
        <v>133</v>
      </c>
      <c r="W39" s="28"/>
      <c r="X39" s="37">
        <v>2500</v>
      </c>
      <c r="Y39" s="28"/>
      <c r="Z39" s="28"/>
      <c r="AA39" s="29" t="s">
        <v>134</v>
      </c>
    </row>
    <row r="40" spans="1:27" ht="45" customHeight="1" x14ac:dyDescent="0.2">
      <c r="A40" s="30">
        <f>+A39+1</f>
        <v>3</v>
      </c>
      <c r="B40" s="31" t="s">
        <v>137</v>
      </c>
      <c r="C40" s="29" t="s">
        <v>138</v>
      </c>
      <c r="D40" s="31" t="s">
        <v>132</v>
      </c>
      <c r="E40" s="32"/>
      <c r="F40" s="230" t="s">
        <v>52</v>
      </c>
      <c r="G40" s="230" t="s">
        <v>52</v>
      </c>
      <c r="H40" s="230" t="s">
        <v>52</v>
      </c>
      <c r="I40" s="32"/>
      <c r="J40" s="230"/>
      <c r="K40" s="230"/>
      <c r="L40" s="230"/>
      <c r="M40" s="32"/>
      <c r="N40" s="230"/>
      <c r="O40" s="230"/>
      <c r="P40" s="230"/>
      <c r="Q40" s="32"/>
      <c r="R40" s="230"/>
      <c r="S40" s="230"/>
      <c r="T40" s="230"/>
      <c r="U40" s="32"/>
      <c r="V40" s="31" t="s">
        <v>133</v>
      </c>
      <c r="W40" s="28"/>
      <c r="X40" s="37">
        <v>7500</v>
      </c>
      <c r="Y40" s="28"/>
      <c r="Z40" s="28"/>
      <c r="AA40" s="29" t="s">
        <v>134</v>
      </c>
    </row>
    <row r="41" spans="1:27" ht="51" x14ac:dyDescent="0.2">
      <c r="A41" s="30">
        <f>+A40+1</f>
        <v>4</v>
      </c>
      <c r="B41" s="31" t="s">
        <v>139</v>
      </c>
      <c r="C41" s="29" t="s">
        <v>140</v>
      </c>
      <c r="D41" s="31" t="s">
        <v>132</v>
      </c>
      <c r="E41" s="32"/>
      <c r="F41" s="230" t="s">
        <v>52</v>
      </c>
      <c r="G41" s="230" t="s">
        <v>52</v>
      </c>
      <c r="H41" s="230" t="s">
        <v>52</v>
      </c>
      <c r="I41" s="32"/>
      <c r="J41" s="230"/>
      <c r="K41" s="230"/>
      <c r="L41" s="230"/>
      <c r="M41" s="32"/>
      <c r="N41" s="230"/>
      <c r="O41" s="230"/>
      <c r="P41" s="230"/>
      <c r="Q41" s="32"/>
      <c r="R41" s="230"/>
      <c r="S41" s="230"/>
      <c r="T41" s="230"/>
      <c r="U41" s="32"/>
      <c r="V41" s="31" t="s">
        <v>141</v>
      </c>
      <c r="W41" s="28"/>
      <c r="X41" s="33">
        <v>5500</v>
      </c>
      <c r="Y41" s="28"/>
      <c r="Z41" s="28"/>
      <c r="AA41" s="29" t="s">
        <v>134</v>
      </c>
    </row>
    <row r="42" spans="1:27" ht="13.5" x14ac:dyDescent="0.25">
      <c r="A42" s="28"/>
      <c r="B42" s="250" t="s">
        <v>142</v>
      </c>
      <c r="C42" s="251"/>
      <c r="D42" s="251"/>
      <c r="E42" s="251"/>
      <c r="F42" s="251"/>
      <c r="G42" s="251"/>
      <c r="H42" s="251"/>
      <c r="I42" s="251"/>
      <c r="J42" s="251"/>
      <c r="K42" s="251"/>
      <c r="L42" s="251"/>
      <c r="M42" s="251"/>
      <c r="N42" s="251"/>
      <c r="O42" s="251"/>
      <c r="P42" s="251"/>
      <c r="Q42" s="251"/>
      <c r="R42" s="251"/>
      <c r="S42" s="251"/>
      <c r="T42" s="251"/>
      <c r="U42" s="251"/>
      <c r="V42" s="251"/>
      <c r="W42" s="251"/>
      <c r="X42" s="251"/>
      <c r="Y42" s="251"/>
      <c r="Z42" s="251"/>
      <c r="AA42" s="252"/>
    </row>
    <row r="43" spans="1:27" ht="32.25" customHeight="1" x14ac:dyDescent="0.2">
      <c r="A43" s="38">
        <f>+A42+1</f>
        <v>1</v>
      </c>
      <c r="B43" s="39" t="s">
        <v>143</v>
      </c>
      <c r="C43" s="34" t="s">
        <v>144</v>
      </c>
      <c r="D43" s="29" t="s">
        <v>145</v>
      </c>
      <c r="E43" s="32"/>
      <c r="F43" s="230" t="s">
        <v>52</v>
      </c>
      <c r="G43" s="230" t="s">
        <v>52</v>
      </c>
      <c r="H43" s="230" t="s">
        <v>52</v>
      </c>
      <c r="I43" s="32"/>
      <c r="J43" s="230" t="s">
        <v>52</v>
      </c>
      <c r="K43" s="230" t="s">
        <v>52</v>
      </c>
      <c r="L43" s="230" t="s">
        <v>52</v>
      </c>
      <c r="M43" s="32"/>
      <c r="N43" s="230" t="s">
        <v>52</v>
      </c>
      <c r="O43" s="230" t="s">
        <v>52</v>
      </c>
      <c r="P43" s="230" t="s">
        <v>52</v>
      </c>
      <c r="Q43" s="32"/>
      <c r="R43" s="230" t="s">
        <v>52</v>
      </c>
      <c r="S43" s="230" t="s">
        <v>52</v>
      </c>
      <c r="T43" s="230" t="s">
        <v>52</v>
      </c>
      <c r="U43" s="32"/>
      <c r="V43" s="39" t="s">
        <v>146</v>
      </c>
      <c r="W43" s="28"/>
      <c r="X43" s="37">
        <v>13320</v>
      </c>
      <c r="Y43" s="28"/>
      <c r="Z43" s="28"/>
      <c r="AA43" s="29" t="s">
        <v>134</v>
      </c>
    </row>
    <row r="44" spans="1:27" ht="38.25" x14ac:dyDescent="0.2">
      <c r="A44" s="38">
        <f>+A43+1</f>
        <v>2</v>
      </c>
      <c r="B44" s="39" t="s">
        <v>147</v>
      </c>
      <c r="C44" s="71" t="s">
        <v>148</v>
      </c>
      <c r="D44" s="28"/>
      <c r="E44" s="32"/>
      <c r="F44" s="230" t="s">
        <v>52</v>
      </c>
      <c r="G44" s="230" t="s">
        <v>52</v>
      </c>
      <c r="H44" s="230" t="s">
        <v>52</v>
      </c>
      <c r="I44" s="32"/>
      <c r="J44" s="230" t="s">
        <v>52</v>
      </c>
      <c r="K44" s="230" t="s">
        <v>52</v>
      </c>
      <c r="L44" s="230" t="s">
        <v>52</v>
      </c>
      <c r="M44" s="32"/>
      <c r="N44" s="230" t="s">
        <v>52</v>
      </c>
      <c r="O44" s="230" t="s">
        <v>52</v>
      </c>
      <c r="P44" s="230" t="s">
        <v>52</v>
      </c>
      <c r="Q44" s="32"/>
      <c r="R44" s="230" t="s">
        <v>52</v>
      </c>
      <c r="S44" s="230" t="s">
        <v>52</v>
      </c>
      <c r="T44" s="230" t="s">
        <v>52</v>
      </c>
      <c r="U44" s="32"/>
      <c r="V44" s="72" t="s">
        <v>149</v>
      </c>
      <c r="W44" s="28"/>
      <c r="X44" s="37">
        <v>79310</v>
      </c>
      <c r="Y44" s="28"/>
      <c r="Z44" s="28"/>
      <c r="AA44" s="29" t="s">
        <v>150</v>
      </c>
    </row>
    <row r="45" spans="1:27" ht="38.25" x14ac:dyDescent="0.2">
      <c r="A45" s="38">
        <f>+A44+1</f>
        <v>3</v>
      </c>
      <c r="B45" s="39" t="s">
        <v>151</v>
      </c>
      <c r="C45" s="71" t="s">
        <v>152</v>
      </c>
      <c r="D45" s="28"/>
      <c r="E45" s="32"/>
      <c r="F45" s="230" t="s">
        <v>52</v>
      </c>
      <c r="G45" s="230" t="s">
        <v>52</v>
      </c>
      <c r="H45" s="230" t="s">
        <v>52</v>
      </c>
      <c r="I45" s="32"/>
      <c r="J45" s="230" t="s">
        <v>52</v>
      </c>
      <c r="K45" s="230" t="s">
        <v>52</v>
      </c>
      <c r="L45" s="230" t="s">
        <v>52</v>
      </c>
      <c r="M45" s="32"/>
      <c r="N45" s="230" t="s">
        <v>52</v>
      </c>
      <c r="O45" s="230" t="s">
        <v>52</v>
      </c>
      <c r="P45" s="230" t="s">
        <v>52</v>
      </c>
      <c r="Q45" s="32"/>
      <c r="R45" s="230" t="s">
        <v>52</v>
      </c>
      <c r="S45" s="230" t="s">
        <v>52</v>
      </c>
      <c r="T45" s="230" t="s">
        <v>52</v>
      </c>
      <c r="U45" s="32"/>
      <c r="V45" s="72" t="s">
        <v>153</v>
      </c>
      <c r="W45" s="28"/>
      <c r="X45" s="33">
        <v>74510</v>
      </c>
      <c r="Y45" s="28"/>
      <c r="Z45" s="28"/>
      <c r="AA45" s="29" t="s">
        <v>150</v>
      </c>
    </row>
    <row r="46" spans="1:27" ht="38.25" x14ac:dyDescent="0.2">
      <c r="A46" s="38">
        <f>+A45+1</f>
        <v>4</v>
      </c>
      <c r="B46" s="39" t="s">
        <v>522</v>
      </c>
      <c r="C46" s="71" t="s">
        <v>521</v>
      </c>
      <c r="D46" s="28"/>
      <c r="E46" s="32"/>
      <c r="F46" s="230"/>
      <c r="G46" s="230"/>
      <c r="H46" s="230" t="s">
        <v>52</v>
      </c>
      <c r="I46" s="32"/>
      <c r="J46" s="230" t="s">
        <v>52</v>
      </c>
      <c r="K46" s="230" t="s">
        <v>52</v>
      </c>
      <c r="L46" s="230" t="s">
        <v>52</v>
      </c>
      <c r="M46" s="32"/>
      <c r="N46" s="230" t="s">
        <v>52</v>
      </c>
      <c r="O46" s="230" t="s">
        <v>52</v>
      </c>
      <c r="P46" s="230" t="s">
        <v>52</v>
      </c>
      <c r="Q46" s="32"/>
      <c r="R46" s="230" t="s">
        <v>52</v>
      </c>
      <c r="S46" s="230" t="s">
        <v>52</v>
      </c>
      <c r="T46" s="230" t="s">
        <v>52</v>
      </c>
      <c r="U46" s="32"/>
      <c r="V46" s="72" t="s">
        <v>523</v>
      </c>
      <c r="W46" s="28"/>
      <c r="X46" s="33">
        <v>35000</v>
      </c>
      <c r="Y46" s="28"/>
      <c r="Z46" s="28"/>
      <c r="AA46" s="29" t="s">
        <v>524</v>
      </c>
    </row>
    <row r="47" spans="1:27" ht="13.5" x14ac:dyDescent="0.25">
      <c r="A47" s="28"/>
      <c r="B47" s="250" t="s">
        <v>154</v>
      </c>
      <c r="C47" s="251"/>
      <c r="D47" s="251"/>
      <c r="E47" s="251"/>
      <c r="F47" s="251"/>
      <c r="G47" s="251"/>
      <c r="H47" s="251"/>
      <c r="I47" s="251"/>
      <c r="J47" s="251"/>
      <c r="K47" s="251"/>
      <c r="L47" s="251"/>
      <c r="M47" s="251"/>
      <c r="N47" s="251"/>
      <c r="O47" s="251"/>
      <c r="P47" s="251"/>
      <c r="Q47" s="251"/>
      <c r="R47" s="251"/>
      <c r="S47" s="251"/>
      <c r="T47" s="251"/>
      <c r="U47" s="251"/>
      <c r="V47" s="251"/>
      <c r="W47" s="251"/>
      <c r="X47" s="251"/>
      <c r="Y47" s="251"/>
      <c r="Z47" s="251"/>
      <c r="AA47" s="252"/>
    </row>
    <row r="48" spans="1:27" ht="141.75" customHeight="1" x14ac:dyDescent="0.2">
      <c r="A48" s="40">
        <f>+A47+1</f>
        <v>1</v>
      </c>
      <c r="B48" s="31" t="s">
        <v>155</v>
      </c>
      <c r="C48" s="41" t="s">
        <v>156</v>
      </c>
      <c r="D48" s="41" t="s">
        <v>157</v>
      </c>
      <c r="E48" s="32"/>
      <c r="F48" s="230" t="s">
        <v>52</v>
      </c>
      <c r="G48" s="230" t="s">
        <v>52</v>
      </c>
      <c r="H48" s="230" t="s">
        <v>52</v>
      </c>
      <c r="I48" s="32"/>
      <c r="J48" s="230" t="s">
        <v>52</v>
      </c>
      <c r="K48" s="230" t="s">
        <v>52</v>
      </c>
      <c r="L48" s="230" t="s">
        <v>52</v>
      </c>
      <c r="M48" s="32"/>
      <c r="N48" s="230" t="s">
        <v>52</v>
      </c>
      <c r="O48" s="230" t="s">
        <v>52</v>
      </c>
      <c r="P48" s="230" t="s">
        <v>52</v>
      </c>
      <c r="Q48" s="32"/>
      <c r="R48" s="230" t="s">
        <v>52</v>
      </c>
      <c r="S48" s="230" t="s">
        <v>52</v>
      </c>
      <c r="T48" s="230" t="s">
        <v>52</v>
      </c>
      <c r="U48" s="32"/>
      <c r="V48" s="215" t="s">
        <v>158</v>
      </c>
      <c r="W48" s="28"/>
      <c r="X48" s="33">
        <v>20000</v>
      </c>
      <c r="Y48" s="28"/>
      <c r="Z48" s="28"/>
      <c r="AA48" s="29" t="s">
        <v>159</v>
      </c>
    </row>
    <row r="49" spans="1:28" x14ac:dyDescent="0.2">
      <c r="A49" s="28"/>
      <c r="B49" s="253" t="s">
        <v>160</v>
      </c>
      <c r="C49" s="254"/>
      <c r="D49" s="254"/>
      <c r="E49" s="254"/>
      <c r="F49" s="254"/>
      <c r="G49" s="254"/>
      <c r="H49" s="254"/>
      <c r="I49" s="254"/>
      <c r="J49" s="254"/>
      <c r="K49" s="254"/>
      <c r="L49" s="254"/>
      <c r="M49" s="254"/>
      <c r="N49" s="254"/>
      <c r="O49" s="254"/>
      <c r="P49" s="254"/>
      <c r="Q49" s="254"/>
      <c r="R49" s="254"/>
      <c r="S49" s="254"/>
      <c r="T49" s="254"/>
      <c r="U49" s="254"/>
      <c r="V49" s="254"/>
      <c r="W49" s="254"/>
      <c r="X49" s="254"/>
      <c r="Y49" s="254"/>
      <c r="Z49" s="254"/>
      <c r="AA49" s="255"/>
    </row>
    <row r="50" spans="1:28" ht="13.5" x14ac:dyDescent="0.25">
      <c r="A50" s="28"/>
      <c r="B50" s="250" t="s">
        <v>161</v>
      </c>
      <c r="C50" s="251"/>
      <c r="D50" s="251"/>
      <c r="E50" s="251"/>
      <c r="F50" s="251"/>
      <c r="G50" s="251"/>
      <c r="H50" s="251"/>
      <c r="I50" s="251"/>
      <c r="J50" s="251"/>
      <c r="K50" s="251"/>
      <c r="L50" s="251"/>
      <c r="M50" s="251"/>
      <c r="N50" s="251"/>
      <c r="O50" s="251"/>
      <c r="P50" s="251"/>
      <c r="Q50" s="251"/>
      <c r="R50" s="251"/>
      <c r="S50" s="251"/>
      <c r="T50" s="251"/>
      <c r="U50" s="251"/>
      <c r="V50" s="251"/>
      <c r="W50" s="251"/>
      <c r="X50" s="251"/>
      <c r="Y50" s="251"/>
      <c r="Z50" s="251"/>
      <c r="AA50" s="252"/>
    </row>
    <row r="51" spans="1:28" s="231" customFormat="1" ht="153" x14ac:dyDescent="0.2">
      <c r="A51" s="30">
        <f>+A50+1</f>
        <v>1</v>
      </c>
      <c r="B51" s="39" t="s">
        <v>162</v>
      </c>
      <c r="C51" s="39" t="s">
        <v>163</v>
      </c>
      <c r="D51" s="39" t="s">
        <v>164</v>
      </c>
      <c r="E51" s="42"/>
      <c r="F51" s="43" t="s">
        <v>52</v>
      </c>
      <c r="G51" s="43" t="s">
        <v>52</v>
      </c>
      <c r="H51" s="43" t="s">
        <v>52</v>
      </c>
      <c r="I51" s="42"/>
      <c r="J51" s="43" t="s">
        <v>52</v>
      </c>
      <c r="K51" s="43" t="s">
        <v>52</v>
      </c>
      <c r="L51" s="43" t="s">
        <v>52</v>
      </c>
      <c r="M51" s="42"/>
      <c r="N51" s="43" t="s">
        <v>52</v>
      </c>
      <c r="O51" s="43" t="s">
        <v>52</v>
      </c>
      <c r="P51" s="43" t="s">
        <v>52</v>
      </c>
      <c r="Q51" s="42"/>
      <c r="R51" s="43" t="s">
        <v>52</v>
      </c>
      <c r="S51" s="43" t="s">
        <v>52</v>
      </c>
      <c r="T51" s="43" t="s">
        <v>52</v>
      </c>
      <c r="U51" s="42"/>
      <c r="V51" s="31" t="s">
        <v>165</v>
      </c>
      <c r="W51" s="30"/>
      <c r="X51" s="45">
        <v>2400</v>
      </c>
      <c r="Y51" s="30"/>
      <c r="Z51" s="30"/>
      <c r="AA51" s="31" t="s">
        <v>166</v>
      </c>
      <c r="AB51" s="27"/>
    </row>
    <row r="52" spans="1:28" s="231" customFormat="1" ht="153" x14ac:dyDescent="0.2">
      <c r="A52" s="30">
        <f>+A51+1</f>
        <v>2</v>
      </c>
      <c r="B52" s="39" t="s">
        <v>167</v>
      </c>
      <c r="C52" s="39" t="s">
        <v>168</v>
      </c>
      <c r="D52" s="39" t="s">
        <v>164</v>
      </c>
      <c r="E52" s="42"/>
      <c r="F52" s="43" t="s">
        <v>52</v>
      </c>
      <c r="G52" s="43" t="s">
        <v>52</v>
      </c>
      <c r="H52" s="43" t="s">
        <v>52</v>
      </c>
      <c r="I52" s="42"/>
      <c r="J52" s="43" t="s">
        <v>52</v>
      </c>
      <c r="K52" s="43" t="s">
        <v>52</v>
      </c>
      <c r="L52" s="43" t="s">
        <v>52</v>
      </c>
      <c r="M52" s="42"/>
      <c r="N52" s="43" t="s">
        <v>52</v>
      </c>
      <c r="O52" s="43" t="s">
        <v>52</v>
      </c>
      <c r="P52" s="43" t="s">
        <v>52</v>
      </c>
      <c r="Q52" s="42"/>
      <c r="R52" s="43" t="s">
        <v>52</v>
      </c>
      <c r="S52" s="43" t="s">
        <v>52</v>
      </c>
      <c r="T52" s="43" t="s">
        <v>52</v>
      </c>
      <c r="U52" s="42"/>
      <c r="V52" s="31" t="s">
        <v>169</v>
      </c>
      <c r="W52" s="30"/>
      <c r="X52" s="45">
        <v>8000</v>
      </c>
      <c r="Y52" s="30"/>
      <c r="Z52" s="30"/>
      <c r="AA52" s="31" t="s">
        <v>166</v>
      </c>
      <c r="AB52" s="27"/>
    </row>
    <row r="53" spans="1:28" s="231" customFormat="1" ht="153" x14ac:dyDescent="0.2">
      <c r="A53" s="30">
        <f>+A52+1</f>
        <v>3</v>
      </c>
      <c r="B53" s="39" t="s">
        <v>170</v>
      </c>
      <c r="C53" s="39" t="s">
        <v>171</v>
      </c>
      <c r="D53" s="39" t="s">
        <v>164</v>
      </c>
      <c r="E53" s="42"/>
      <c r="F53" s="43" t="s">
        <v>52</v>
      </c>
      <c r="G53" s="43" t="s">
        <v>52</v>
      </c>
      <c r="H53" s="43" t="s">
        <v>52</v>
      </c>
      <c r="I53" s="42"/>
      <c r="J53" s="43" t="s">
        <v>52</v>
      </c>
      <c r="K53" s="43" t="s">
        <v>52</v>
      </c>
      <c r="L53" s="43" t="s">
        <v>52</v>
      </c>
      <c r="M53" s="42"/>
      <c r="N53" s="43" t="s">
        <v>52</v>
      </c>
      <c r="O53" s="43" t="s">
        <v>52</v>
      </c>
      <c r="P53" s="43" t="s">
        <v>52</v>
      </c>
      <c r="Q53" s="42"/>
      <c r="R53" s="43" t="s">
        <v>52</v>
      </c>
      <c r="S53" s="43" t="s">
        <v>52</v>
      </c>
      <c r="T53" s="43" t="s">
        <v>52</v>
      </c>
      <c r="U53" s="42"/>
      <c r="V53" s="39" t="s">
        <v>172</v>
      </c>
      <c r="W53" s="30"/>
      <c r="X53" s="46">
        <v>8800</v>
      </c>
      <c r="Y53" s="30"/>
      <c r="Z53" s="30"/>
      <c r="AA53" s="31" t="s">
        <v>166</v>
      </c>
      <c r="AB53" s="27"/>
    </row>
    <row r="54" spans="1:28" ht="153" x14ac:dyDescent="0.2">
      <c r="A54" s="30">
        <f>+A53+1</f>
        <v>4</v>
      </c>
      <c r="B54" s="39" t="s">
        <v>173</v>
      </c>
      <c r="C54" s="39" t="s">
        <v>174</v>
      </c>
      <c r="D54" s="39" t="s">
        <v>164</v>
      </c>
      <c r="E54" s="32"/>
      <c r="F54" s="230" t="s">
        <v>52</v>
      </c>
      <c r="G54" s="230" t="s">
        <v>52</v>
      </c>
      <c r="H54" s="230" t="s">
        <v>52</v>
      </c>
      <c r="I54" s="32"/>
      <c r="J54" s="230" t="s">
        <v>52</v>
      </c>
      <c r="K54" s="230" t="s">
        <v>52</v>
      </c>
      <c r="L54" s="230" t="s">
        <v>52</v>
      </c>
      <c r="M54" s="32"/>
      <c r="N54" s="230" t="s">
        <v>52</v>
      </c>
      <c r="O54" s="230" t="s">
        <v>52</v>
      </c>
      <c r="P54" s="230" t="s">
        <v>52</v>
      </c>
      <c r="Q54" s="32"/>
      <c r="R54" s="230" t="s">
        <v>52</v>
      </c>
      <c r="S54" s="230" t="s">
        <v>52</v>
      </c>
      <c r="T54" s="230" t="s">
        <v>52</v>
      </c>
      <c r="U54" s="32"/>
      <c r="V54" s="218" t="s">
        <v>175</v>
      </c>
      <c r="W54" s="28"/>
      <c r="X54" s="37">
        <v>6000</v>
      </c>
      <c r="Y54" s="28"/>
      <c r="Z54" s="28"/>
      <c r="AA54" s="31" t="s">
        <v>166</v>
      </c>
    </row>
    <row r="55" spans="1:28" ht="42.75" customHeight="1" x14ac:dyDescent="0.2">
      <c r="A55" s="30">
        <f>+A54+1</f>
        <v>5</v>
      </c>
      <c r="B55" s="39" t="s">
        <v>176</v>
      </c>
      <c r="C55" s="210" t="s">
        <v>177</v>
      </c>
      <c r="D55" s="210"/>
      <c r="E55" s="211"/>
      <c r="F55" s="230" t="s">
        <v>52</v>
      </c>
      <c r="G55" s="230" t="s">
        <v>52</v>
      </c>
      <c r="H55" s="230" t="s">
        <v>52</v>
      </c>
      <c r="I55" s="32"/>
      <c r="J55" s="230" t="s">
        <v>52</v>
      </c>
      <c r="K55" s="230" t="s">
        <v>52</v>
      </c>
      <c r="L55" s="230" t="s">
        <v>52</v>
      </c>
      <c r="M55" s="32"/>
      <c r="N55" s="230" t="s">
        <v>52</v>
      </c>
      <c r="O55" s="230" t="s">
        <v>52</v>
      </c>
      <c r="P55" s="230" t="s">
        <v>52</v>
      </c>
      <c r="Q55" s="32"/>
      <c r="R55" s="230" t="s">
        <v>52</v>
      </c>
      <c r="S55" s="230" t="s">
        <v>52</v>
      </c>
      <c r="T55" s="230" t="s">
        <v>52</v>
      </c>
      <c r="U55" s="211"/>
      <c r="V55" s="216" t="s">
        <v>178</v>
      </c>
      <c r="W55" s="212"/>
      <c r="X55" s="213">
        <v>2000</v>
      </c>
      <c r="Y55" s="212"/>
      <c r="Z55" s="212"/>
      <c r="AA55" s="31" t="s">
        <v>166</v>
      </c>
    </row>
    <row r="56" spans="1:28" ht="13.5" x14ac:dyDescent="0.25">
      <c r="A56" s="28"/>
      <c r="B56" s="250" t="s">
        <v>179</v>
      </c>
      <c r="C56" s="251"/>
      <c r="D56" s="251"/>
      <c r="E56" s="251"/>
      <c r="F56" s="251"/>
      <c r="G56" s="251"/>
      <c r="H56" s="251"/>
      <c r="I56" s="251"/>
      <c r="J56" s="251"/>
      <c r="K56" s="251"/>
      <c r="L56" s="251"/>
      <c r="M56" s="251"/>
      <c r="N56" s="251"/>
      <c r="O56" s="251"/>
      <c r="P56" s="251"/>
      <c r="Q56" s="251"/>
      <c r="R56" s="251"/>
      <c r="S56" s="251"/>
      <c r="T56" s="251"/>
      <c r="U56" s="251"/>
      <c r="V56" s="251"/>
      <c r="W56" s="251"/>
      <c r="X56" s="251"/>
      <c r="Y56" s="251"/>
      <c r="Z56" s="251"/>
      <c r="AA56" s="252"/>
    </row>
    <row r="57" spans="1:28" s="231" customFormat="1" ht="42" customHeight="1" x14ac:dyDescent="0.2">
      <c r="A57" s="30">
        <f>+A56+1</f>
        <v>1</v>
      </c>
      <c r="B57" s="39" t="s">
        <v>180</v>
      </c>
      <c r="C57" s="39" t="s">
        <v>181</v>
      </c>
      <c r="D57" s="39" t="s">
        <v>164</v>
      </c>
      <c r="E57" s="42"/>
      <c r="F57" s="43" t="s">
        <v>52</v>
      </c>
      <c r="G57" s="43" t="s">
        <v>52</v>
      </c>
      <c r="H57" s="43" t="s">
        <v>52</v>
      </c>
      <c r="I57" s="42"/>
      <c r="J57" s="43" t="s">
        <v>52</v>
      </c>
      <c r="K57" s="43" t="s">
        <v>52</v>
      </c>
      <c r="L57" s="43" t="s">
        <v>52</v>
      </c>
      <c r="M57" s="42"/>
      <c r="N57" s="43" t="s">
        <v>52</v>
      </c>
      <c r="O57" s="43" t="s">
        <v>52</v>
      </c>
      <c r="P57" s="43" t="s">
        <v>52</v>
      </c>
      <c r="Q57" s="42"/>
      <c r="R57" s="43" t="s">
        <v>52</v>
      </c>
      <c r="S57" s="43" t="s">
        <v>52</v>
      </c>
      <c r="T57" s="43" t="s">
        <v>52</v>
      </c>
      <c r="U57" s="42"/>
      <c r="V57" s="29" t="s">
        <v>182</v>
      </c>
      <c r="W57" s="30"/>
      <c r="X57" s="187">
        <v>6000</v>
      </c>
      <c r="Y57" s="30"/>
      <c r="Z57" s="30"/>
      <c r="AA57" s="31" t="s">
        <v>166</v>
      </c>
      <c r="AB57" s="27"/>
    </row>
    <row r="58" spans="1:28" s="231" customFormat="1" ht="36" customHeight="1" x14ac:dyDescent="0.2">
      <c r="A58" s="30">
        <f>+A57+1</f>
        <v>2</v>
      </c>
      <c r="B58" s="39" t="s">
        <v>183</v>
      </c>
      <c r="C58" s="39" t="s">
        <v>181</v>
      </c>
      <c r="D58" s="39" t="s">
        <v>164</v>
      </c>
      <c r="E58" s="42"/>
      <c r="F58" s="43" t="s">
        <v>52</v>
      </c>
      <c r="G58" s="43" t="s">
        <v>52</v>
      </c>
      <c r="H58" s="43" t="s">
        <v>52</v>
      </c>
      <c r="I58" s="42"/>
      <c r="J58" s="43" t="s">
        <v>52</v>
      </c>
      <c r="K58" s="43" t="s">
        <v>52</v>
      </c>
      <c r="L58" s="43" t="s">
        <v>52</v>
      </c>
      <c r="M58" s="42"/>
      <c r="N58" s="43" t="s">
        <v>52</v>
      </c>
      <c r="O58" s="43" t="s">
        <v>52</v>
      </c>
      <c r="P58" s="43" t="s">
        <v>52</v>
      </c>
      <c r="Q58" s="42"/>
      <c r="R58" s="43" t="s">
        <v>52</v>
      </c>
      <c r="S58" s="43" t="s">
        <v>52</v>
      </c>
      <c r="T58" s="43" t="s">
        <v>52</v>
      </c>
      <c r="U58" s="42"/>
      <c r="V58" s="194" t="s">
        <v>184</v>
      </c>
      <c r="W58" s="30"/>
      <c r="X58" s="187">
        <v>6000</v>
      </c>
      <c r="Y58" s="30"/>
      <c r="Z58" s="30"/>
      <c r="AA58" s="31" t="s">
        <v>185</v>
      </c>
      <c r="AB58" s="27"/>
    </row>
    <row r="59" spans="1:28" s="231" customFormat="1" ht="36" customHeight="1" x14ac:dyDescent="0.2">
      <c r="A59" s="30"/>
      <c r="B59" s="247" t="s">
        <v>186</v>
      </c>
      <c r="C59" s="248"/>
      <c r="D59" s="248"/>
      <c r="E59" s="248"/>
      <c r="F59" s="248"/>
      <c r="G59" s="248"/>
      <c r="H59" s="248"/>
      <c r="I59" s="248"/>
      <c r="J59" s="248"/>
      <c r="K59" s="248"/>
      <c r="L59" s="248"/>
      <c r="M59" s="248"/>
      <c r="N59" s="248"/>
      <c r="O59" s="248"/>
      <c r="P59" s="248"/>
      <c r="Q59" s="248"/>
      <c r="R59" s="248"/>
      <c r="S59" s="248"/>
      <c r="T59" s="248"/>
      <c r="U59" s="248"/>
      <c r="V59" s="248"/>
      <c r="W59" s="248"/>
      <c r="X59" s="248"/>
      <c r="Y59" s="248"/>
      <c r="Z59" s="248"/>
      <c r="AA59" s="249"/>
      <c r="AB59" s="27"/>
    </row>
    <row r="60" spans="1:28" s="231" customFormat="1" ht="36" customHeight="1" x14ac:dyDescent="0.2">
      <c r="A60" s="30">
        <f>+A59+1</f>
        <v>1</v>
      </c>
      <c r="B60" s="39" t="s">
        <v>187</v>
      </c>
      <c r="C60" s="39" t="s">
        <v>188</v>
      </c>
      <c r="D60" s="39" t="s">
        <v>164</v>
      </c>
      <c r="E60" s="42"/>
      <c r="F60" s="43" t="s">
        <v>52</v>
      </c>
      <c r="G60" s="43" t="s">
        <v>52</v>
      </c>
      <c r="H60" s="43" t="s">
        <v>52</v>
      </c>
      <c r="I60" s="42"/>
      <c r="J60" s="43" t="s">
        <v>52</v>
      </c>
      <c r="K60" s="43" t="s">
        <v>52</v>
      </c>
      <c r="L60" s="43" t="s">
        <v>52</v>
      </c>
      <c r="M60" s="42"/>
      <c r="N60" s="43" t="s">
        <v>52</v>
      </c>
      <c r="O60" s="43" t="s">
        <v>52</v>
      </c>
      <c r="P60" s="43" t="s">
        <v>52</v>
      </c>
      <c r="Q60" s="42"/>
      <c r="R60" s="43" t="s">
        <v>52</v>
      </c>
      <c r="S60" s="43" t="s">
        <v>52</v>
      </c>
      <c r="T60" s="43" t="s">
        <v>52</v>
      </c>
      <c r="U60" s="42"/>
      <c r="V60" s="29" t="s">
        <v>189</v>
      </c>
      <c r="W60" s="30"/>
      <c r="X60" s="45">
        <v>5000</v>
      </c>
      <c r="Y60" s="30"/>
      <c r="Z60" s="30"/>
      <c r="AA60" s="31" t="s">
        <v>190</v>
      </c>
      <c r="AB60" s="27"/>
    </row>
    <row r="61" spans="1:28" s="231" customFormat="1" ht="130.5" customHeight="1" x14ac:dyDescent="0.2">
      <c r="A61" s="30">
        <f>+A60+1</f>
        <v>2</v>
      </c>
      <c r="B61" s="39" t="s">
        <v>191</v>
      </c>
      <c r="C61" s="39" t="s">
        <v>192</v>
      </c>
      <c r="D61" s="39" t="s">
        <v>164</v>
      </c>
      <c r="E61" s="42"/>
      <c r="F61" s="43" t="s">
        <v>52</v>
      </c>
      <c r="G61" s="43" t="s">
        <v>52</v>
      </c>
      <c r="H61" s="43" t="s">
        <v>52</v>
      </c>
      <c r="I61" s="42"/>
      <c r="J61" s="43" t="s">
        <v>52</v>
      </c>
      <c r="K61" s="43" t="s">
        <v>52</v>
      </c>
      <c r="L61" s="43" t="s">
        <v>52</v>
      </c>
      <c r="M61" s="42"/>
      <c r="N61" s="43" t="s">
        <v>52</v>
      </c>
      <c r="O61" s="43" t="s">
        <v>52</v>
      </c>
      <c r="P61" s="43" t="s">
        <v>52</v>
      </c>
      <c r="Q61" s="42"/>
      <c r="R61" s="43" t="s">
        <v>52</v>
      </c>
      <c r="S61" s="43" t="s">
        <v>52</v>
      </c>
      <c r="T61" s="43" t="s">
        <v>52</v>
      </c>
      <c r="U61" s="42"/>
      <c r="V61" s="31" t="s">
        <v>193</v>
      </c>
      <c r="W61" s="30"/>
      <c r="X61" s="45">
        <v>3600</v>
      </c>
      <c r="Y61" s="30"/>
      <c r="Z61" s="30"/>
      <c r="AA61" s="31" t="s">
        <v>190</v>
      </c>
      <c r="AB61" s="27"/>
    </row>
    <row r="62" spans="1:28" ht="64.5" customHeight="1" x14ac:dyDescent="0.2">
      <c r="A62" s="30">
        <f>+A61+1</f>
        <v>3</v>
      </c>
      <c r="B62" s="39" t="s">
        <v>194</v>
      </c>
      <c r="C62" s="39" t="s">
        <v>195</v>
      </c>
      <c r="D62" s="39" t="s">
        <v>164</v>
      </c>
      <c r="E62" s="42"/>
      <c r="F62" s="43" t="s">
        <v>52</v>
      </c>
      <c r="G62" s="43" t="s">
        <v>52</v>
      </c>
      <c r="H62" s="43" t="s">
        <v>52</v>
      </c>
      <c r="I62" s="42"/>
      <c r="J62" s="43" t="s">
        <v>52</v>
      </c>
      <c r="K62" s="43" t="s">
        <v>52</v>
      </c>
      <c r="L62" s="43" t="s">
        <v>52</v>
      </c>
      <c r="M62" s="42"/>
      <c r="N62" s="43" t="s">
        <v>52</v>
      </c>
      <c r="O62" s="43" t="s">
        <v>52</v>
      </c>
      <c r="P62" s="43" t="s">
        <v>52</v>
      </c>
      <c r="Q62" s="42"/>
      <c r="R62" s="43" t="s">
        <v>52</v>
      </c>
      <c r="S62" s="43" t="s">
        <v>52</v>
      </c>
      <c r="T62" s="43" t="s">
        <v>52</v>
      </c>
      <c r="U62" s="42"/>
      <c r="V62" s="29" t="s">
        <v>196</v>
      </c>
      <c r="W62" s="30"/>
      <c r="X62" s="45">
        <v>2000</v>
      </c>
      <c r="Y62" s="30"/>
      <c r="Z62" s="30"/>
      <c r="AA62" s="31" t="s">
        <v>190</v>
      </c>
    </row>
    <row r="63" spans="1:28" ht="49.5" customHeight="1" x14ac:dyDescent="0.2">
      <c r="A63" s="30">
        <f>+A62+1</f>
        <v>4</v>
      </c>
      <c r="B63" s="39" t="s">
        <v>197</v>
      </c>
      <c r="C63" s="39" t="s">
        <v>198</v>
      </c>
      <c r="D63" s="39" t="s">
        <v>164</v>
      </c>
      <c r="E63" s="42"/>
      <c r="F63" s="43" t="s">
        <v>52</v>
      </c>
      <c r="G63" s="43" t="s">
        <v>52</v>
      </c>
      <c r="H63" s="43" t="s">
        <v>52</v>
      </c>
      <c r="I63" s="42"/>
      <c r="J63" s="43" t="s">
        <v>52</v>
      </c>
      <c r="K63" s="43" t="s">
        <v>52</v>
      </c>
      <c r="L63" s="43" t="s">
        <v>52</v>
      </c>
      <c r="M63" s="42"/>
      <c r="N63" s="43" t="s">
        <v>52</v>
      </c>
      <c r="O63" s="43" t="s">
        <v>52</v>
      </c>
      <c r="P63" s="43" t="s">
        <v>52</v>
      </c>
      <c r="Q63" s="42"/>
      <c r="R63" s="43" t="s">
        <v>52</v>
      </c>
      <c r="S63" s="43" t="s">
        <v>52</v>
      </c>
      <c r="T63" s="43" t="s">
        <v>52</v>
      </c>
      <c r="U63" s="42"/>
      <c r="V63" s="31" t="s">
        <v>199</v>
      </c>
      <c r="W63" s="30"/>
      <c r="X63" s="45">
        <v>500</v>
      </c>
      <c r="Y63" s="30"/>
      <c r="Z63" s="30"/>
      <c r="AA63" s="31" t="s">
        <v>190</v>
      </c>
    </row>
    <row r="64" spans="1:28" ht="49.5" customHeight="1" x14ac:dyDescent="0.2">
      <c r="A64" s="30">
        <f>+A63+1</f>
        <v>5</v>
      </c>
      <c r="B64" s="39" t="s">
        <v>200</v>
      </c>
      <c r="C64" s="39" t="s">
        <v>201</v>
      </c>
      <c r="D64" s="39"/>
      <c r="E64" s="42"/>
      <c r="F64" s="43" t="s">
        <v>52</v>
      </c>
      <c r="G64" s="43" t="s">
        <v>52</v>
      </c>
      <c r="H64" s="43" t="s">
        <v>52</v>
      </c>
      <c r="I64" s="42"/>
      <c r="J64" s="43" t="s">
        <v>52</v>
      </c>
      <c r="K64" s="43" t="s">
        <v>52</v>
      </c>
      <c r="L64" s="43" t="s">
        <v>52</v>
      </c>
      <c r="M64" s="42"/>
      <c r="N64" s="43" t="s">
        <v>52</v>
      </c>
      <c r="O64" s="43" t="s">
        <v>52</v>
      </c>
      <c r="P64" s="43" t="s">
        <v>52</v>
      </c>
      <c r="Q64" s="42"/>
      <c r="R64" s="43" t="s">
        <v>52</v>
      </c>
      <c r="S64" s="43" t="s">
        <v>52</v>
      </c>
      <c r="T64" s="43" t="s">
        <v>52</v>
      </c>
      <c r="U64" s="42"/>
      <c r="V64" s="31" t="s">
        <v>202</v>
      </c>
      <c r="W64" s="30"/>
      <c r="X64" s="45">
        <v>128695</v>
      </c>
      <c r="Y64" s="30"/>
      <c r="Z64" s="30"/>
      <c r="AA64" s="31" t="s">
        <v>190</v>
      </c>
    </row>
    <row r="65" spans="1:27" ht="13.5" x14ac:dyDescent="0.2">
      <c r="A65" s="30"/>
      <c r="B65" s="247" t="s">
        <v>203</v>
      </c>
      <c r="C65" s="248"/>
      <c r="D65" s="248"/>
      <c r="E65" s="248"/>
      <c r="F65" s="248"/>
      <c r="G65" s="248"/>
      <c r="H65" s="248"/>
      <c r="I65" s="248"/>
      <c r="J65" s="248"/>
      <c r="K65" s="248"/>
      <c r="L65" s="248"/>
      <c r="M65" s="248"/>
      <c r="N65" s="248"/>
      <c r="O65" s="248"/>
      <c r="P65" s="248"/>
      <c r="Q65" s="248"/>
      <c r="R65" s="248"/>
      <c r="S65" s="248"/>
      <c r="T65" s="248"/>
      <c r="U65" s="248"/>
      <c r="V65" s="248"/>
      <c r="W65" s="248"/>
      <c r="X65" s="248"/>
      <c r="Y65" s="248"/>
      <c r="Z65" s="248"/>
      <c r="AA65" s="249"/>
    </row>
    <row r="66" spans="1:27" ht="57" customHeight="1" x14ac:dyDescent="0.2">
      <c r="A66" s="30">
        <v>1</v>
      </c>
      <c r="B66" s="39" t="s">
        <v>204</v>
      </c>
      <c r="C66" s="39" t="s">
        <v>205</v>
      </c>
      <c r="D66" s="39" t="s">
        <v>164</v>
      </c>
      <c r="E66" s="42"/>
      <c r="F66" s="43" t="s">
        <v>52</v>
      </c>
      <c r="G66" s="43" t="s">
        <v>52</v>
      </c>
      <c r="H66" s="43" t="s">
        <v>52</v>
      </c>
      <c r="I66" s="42"/>
      <c r="J66" s="43" t="s">
        <v>52</v>
      </c>
      <c r="K66" s="43" t="s">
        <v>52</v>
      </c>
      <c r="L66" s="43" t="s">
        <v>52</v>
      </c>
      <c r="M66" s="42"/>
      <c r="N66" s="43" t="s">
        <v>52</v>
      </c>
      <c r="O66" s="43" t="s">
        <v>52</v>
      </c>
      <c r="P66" s="43" t="s">
        <v>52</v>
      </c>
      <c r="Q66" s="42"/>
      <c r="R66" s="43" t="s">
        <v>52</v>
      </c>
      <c r="S66" s="43" t="s">
        <v>52</v>
      </c>
      <c r="T66" s="43" t="s">
        <v>52</v>
      </c>
      <c r="U66" s="42"/>
      <c r="V66" s="39" t="s">
        <v>206</v>
      </c>
      <c r="W66" s="47"/>
      <c r="X66" s="45">
        <v>2400</v>
      </c>
      <c r="Y66" s="47"/>
      <c r="Z66" s="47"/>
      <c r="AA66" s="31" t="s">
        <v>190</v>
      </c>
    </row>
    <row r="67" spans="1:27" ht="69" customHeight="1" x14ac:dyDescent="0.2">
      <c r="A67" s="30">
        <f>+A66+1</f>
        <v>2</v>
      </c>
      <c r="B67" s="39" t="s">
        <v>207</v>
      </c>
      <c r="C67" s="39" t="s">
        <v>208</v>
      </c>
      <c r="D67" s="39" t="s">
        <v>164</v>
      </c>
      <c r="E67" s="42"/>
      <c r="F67" s="43" t="s">
        <v>52</v>
      </c>
      <c r="G67" s="43" t="s">
        <v>52</v>
      </c>
      <c r="H67" s="43" t="s">
        <v>52</v>
      </c>
      <c r="I67" s="42"/>
      <c r="J67" s="43" t="s">
        <v>52</v>
      </c>
      <c r="K67" s="43" t="s">
        <v>52</v>
      </c>
      <c r="L67" s="43" t="s">
        <v>52</v>
      </c>
      <c r="M67" s="42"/>
      <c r="N67" s="43" t="s">
        <v>52</v>
      </c>
      <c r="O67" s="43" t="s">
        <v>52</v>
      </c>
      <c r="P67" s="43" t="s">
        <v>52</v>
      </c>
      <c r="Q67" s="42"/>
      <c r="R67" s="43" t="s">
        <v>52</v>
      </c>
      <c r="S67" s="43" t="s">
        <v>52</v>
      </c>
      <c r="T67" s="43" t="s">
        <v>52</v>
      </c>
      <c r="U67" s="42"/>
      <c r="V67" s="39" t="s">
        <v>209</v>
      </c>
      <c r="W67" s="47"/>
      <c r="X67" s="45">
        <v>3600</v>
      </c>
      <c r="Y67" s="47"/>
      <c r="Z67" s="47"/>
      <c r="AA67" s="31" t="s">
        <v>190</v>
      </c>
    </row>
    <row r="68" spans="1:27" ht="64.5" customHeight="1" x14ac:dyDescent="0.2">
      <c r="A68" s="30">
        <f t="shared" ref="A68:A79" si="1">+A67+1</f>
        <v>3</v>
      </c>
      <c r="B68" s="39" t="s">
        <v>210</v>
      </c>
      <c r="C68" s="39" t="s">
        <v>211</v>
      </c>
      <c r="D68" s="39" t="s">
        <v>164</v>
      </c>
      <c r="E68" s="42"/>
      <c r="F68" s="43" t="s">
        <v>52</v>
      </c>
      <c r="G68" s="43" t="s">
        <v>52</v>
      </c>
      <c r="H68" s="43" t="s">
        <v>52</v>
      </c>
      <c r="I68" s="42"/>
      <c r="J68" s="43" t="s">
        <v>52</v>
      </c>
      <c r="K68" s="43" t="s">
        <v>52</v>
      </c>
      <c r="L68" s="43" t="s">
        <v>52</v>
      </c>
      <c r="M68" s="42"/>
      <c r="N68" s="43" t="s">
        <v>52</v>
      </c>
      <c r="O68" s="43" t="s">
        <v>52</v>
      </c>
      <c r="P68" s="43" t="s">
        <v>52</v>
      </c>
      <c r="Q68" s="42"/>
      <c r="R68" s="43" t="s">
        <v>52</v>
      </c>
      <c r="S68" s="43" t="s">
        <v>52</v>
      </c>
      <c r="T68" s="43" t="s">
        <v>52</v>
      </c>
      <c r="U68" s="42"/>
      <c r="V68" s="39" t="s">
        <v>212</v>
      </c>
      <c r="W68" s="47"/>
      <c r="X68" s="45">
        <v>3600</v>
      </c>
      <c r="Y68" s="47"/>
      <c r="Z68" s="47"/>
      <c r="AA68" s="31" t="s">
        <v>190</v>
      </c>
    </row>
    <row r="69" spans="1:27" ht="48" customHeight="1" x14ac:dyDescent="0.2">
      <c r="A69" s="30">
        <f t="shared" si="1"/>
        <v>4</v>
      </c>
      <c r="B69" s="39" t="s">
        <v>213</v>
      </c>
      <c r="C69" s="39" t="s">
        <v>214</v>
      </c>
      <c r="D69" s="39" t="s">
        <v>164</v>
      </c>
      <c r="E69" s="42"/>
      <c r="F69" s="43" t="s">
        <v>52</v>
      </c>
      <c r="G69" s="43" t="s">
        <v>52</v>
      </c>
      <c r="H69" s="43" t="s">
        <v>52</v>
      </c>
      <c r="I69" s="42"/>
      <c r="J69" s="43" t="s">
        <v>52</v>
      </c>
      <c r="K69" s="43" t="s">
        <v>52</v>
      </c>
      <c r="L69" s="43" t="s">
        <v>52</v>
      </c>
      <c r="M69" s="42"/>
      <c r="N69" s="43" t="s">
        <v>52</v>
      </c>
      <c r="O69" s="43" t="s">
        <v>52</v>
      </c>
      <c r="P69" s="43" t="s">
        <v>52</v>
      </c>
      <c r="Q69" s="42"/>
      <c r="R69" s="43" t="s">
        <v>52</v>
      </c>
      <c r="S69" s="43" t="s">
        <v>52</v>
      </c>
      <c r="T69" s="43" t="s">
        <v>52</v>
      </c>
      <c r="U69" s="42"/>
      <c r="V69" s="39" t="s">
        <v>215</v>
      </c>
      <c r="W69" s="47"/>
      <c r="X69" s="45">
        <v>2400</v>
      </c>
      <c r="Y69" s="47"/>
      <c r="Z69" s="47"/>
      <c r="AA69" s="31" t="s">
        <v>190</v>
      </c>
    </row>
    <row r="70" spans="1:27" ht="37.5" customHeight="1" x14ac:dyDescent="0.2">
      <c r="A70" s="30">
        <f t="shared" si="1"/>
        <v>5</v>
      </c>
      <c r="B70" s="39" t="s">
        <v>216</v>
      </c>
      <c r="C70" s="39" t="s">
        <v>217</v>
      </c>
      <c r="D70" s="39" t="s">
        <v>164</v>
      </c>
      <c r="E70" s="42"/>
      <c r="F70" s="43" t="s">
        <v>52</v>
      </c>
      <c r="G70" s="43" t="s">
        <v>52</v>
      </c>
      <c r="H70" s="43" t="s">
        <v>52</v>
      </c>
      <c r="I70" s="42"/>
      <c r="J70" s="43" t="s">
        <v>52</v>
      </c>
      <c r="K70" s="43" t="s">
        <v>52</v>
      </c>
      <c r="L70" s="43" t="s">
        <v>52</v>
      </c>
      <c r="M70" s="42"/>
      <c r="N70" s="43" t="s">
        <v>52</v>
      </c>
      <c r="O70" s="43" t="s">
        <v>52</v>
      </c>
      <c r="P70" s="43" t="s">
        <v>52</v>
      </c>
      <c r="Q70" s="42"/>
      <c r="R70" s="43" t="s">
        <v>52</v>
      </c>
      <c r="S70" s="43" t="s">
        <v>52</v>
      </c>
      <c r="T70" s="43" t="s">
        <v>52</v>
      </c>
      <c r="U70" s="42"/>
      <c r="V70" s="39" t="s">
        <v>218</v>
      </c>
      <c r="W70" s="47"/>
      <c r="X70" s="45">
        <v>2400</v>
      </c>
      <c r="Y70" s="47"/>
      <c r="Z70" s="47"/>
      <c r="AA70" s="31" t="s">
        <v>190</v>
      </c>
    </row>
    <row r="71" spans="1:27" ht="37.5" customHeight="1" x14ac:dyDescent="0.2">
      <c r="A71" s="30">
        <f t="shared" si="1"/>
        <v>6</v>
      </c>
      <c r="B71" s="39" t="s">
        <v>219</v>
      </c>
      <c r="C71" s="39" t="s">
        <v>220</v>
      </c>
      <c r="D71" s="39"/>
      <c r="E71" s="42"/>
      <c r="F71" s="43" t="s">
        <v>52</v>
      </c>
      <c r="G71" s="43" t="s">
        <v>52</v>
      </c>
      <c r="H71" s="43" t="s">
        <v>52</v>
      </c>
      <c r="I71" s="42"/>
      <c r="J71" s="43" t="s">
        <v>52</v>
      </c>
      <c r="K71" s="43" t="s">
        <v>52</v>
      </c>
      <c r="L71" s="43" t="s">
        <v>52</v>
      </c>
      <c r="M71" s="42"/>
      <c r="N71" s="43" t="s">
        <v>52</v>
      </c>
      <c r="O71" s="43" t="s">
        <v>52</v>
      </c>
      <c r="P71" s="43" t="s">
        <v>52</v>
      </c>
      <c r="Q71" s="42"/>
      <c r="R71" s="43" t="s">
        <v>52</v>
      </c>
      <c r="S71" s="43" t="s">
        <v>52</v>
      </c>
      <c r="T71" s="43" t="s">
        <v>52</v>
      </c>
      <c r="U71" s="42"/>
      <c r="V71" s="214" t="s">
        <v>221</v>
      </c>
      <c r="W71" s="47"/>
      <c r="X71" s="45">
        <v>3600</v>
      </c>
      <c r="Y71" s="47"/>
      <c r="Z71" s="47"/>
      <c r="AA71" s="31" t="s">
        <v>190</v>
      </c>
    </row>
    <row r="72" spans="1:27" ht="37.5" customHeight="1" x14ac:dyDescent="0.2">
      <c r="A72" s="30">
        <f t="shared" si="1"/>
        <v>7</v>
      </c>
      <c r="B72" s="39" t="s">
        <v>222</v>
      </c>
      <c r="C72" s="39" t="s">
        <v>223</v>
      </c>
      <c r="D72" s="39"/>
      <c r="E72" s="42"/>
      <c r="F72" s="43" t="s">
        <v>52</v>
      </c>
      <c r="G72" s="43" t="s">
        <v>52</v>
      </c>
      <c r="H72" s="43" t="s">
        <v>52</v>
      </c>
      <c r="I72" s="42"/>
      <c r="J72" s="43" t="s">
        <v>52</v>
      </c>
      <c r="K72" s="43" t="s">
        <v>52</v>
      </c>
      <c r="L72" s="43" t="s">
        <v>52</v>
      </c>
      <c r="M72" s="42"/>
      <c r="N72" s="43" t="s">
        <v>52</v>
      </c>
      <c r="O72" s="43" t="s">
        <v>52</v>
      </c>
      <c r="P72" s="43" t="s">
        <v>52</v>
      </c>
      <c r="Q72" s="42"/>
      <c r="R72" s="43" t="s">
        <v>52</v>
      </c>
      <c r="S72" s="43" t="s">
        <v>52</v>
      </c>
      <c r="T72" s="43" t="s">
        <v>52</v>
      </c>
      <c r="U72" s="42"/>
      <c r="V72" s="39" t="s">
        <v>224</v>
      </c>
      <c r="W72" s="47"/>
      <c r="X72" s="45">
        <v>2000</v>
      </c>
      <c r="Y72" s="47"/>
      <c r="Z72" s="47"/>
      <c r="AA72" s="31" t="s">
        <v>190</v>
      </c>
    </row>
    <row r="73" spans="1:27" ht="13.5" x14ac:dyDescent="0.2">
      <c r="A73" s="30"/>
      <c r="B73" s="247" t="s">
        <v>225</v>
      </c>
      <c r="C73" s="248"/>
      <c r="D73" s="248"/>
      <c r="E73" s="248"/>
      <c r="F73" s="248"/>
      <c r="G73" s="248"/>
      <c r="H73" s="248"/>
      <c r="I73" s="248"/>
      <c r="J73" s="248"/>
      <c r="K73" s="248"/>
      <c r="L73" s="248"/>
      <c r="M73" s="248"/>
      <c r="N73" s="248"/>
      <c r="O73" s="248"/>
      <c r="P73" s="248"/>
      <c r="Q73" s="248"/>
      <c r="R73" s="248"/>
      <c r="S73" s="248"/>
      <c r="T73" s="248"/>
      <c r="U73" s="248"/>
      <c r="V73" s="248"/>
      <c r="W73" s="248"/>
      <c r="X73" s="248"/>
      <c r="Y73" s="248"/>
      <c r="Z73" s="248"/>
      <c r="AA73" s="249"/>
    </row>
    <row r="74" spans="1:27" ht="25.5" x14ac:dyDescent="0.2">
      <c r="A74" s="30">
        <f t="shared" si="1"/>
        <v>1</v>
      </c>
      <c r="B74" s="39" t="s">
        <v>226</v>
      </c>
      <c r="C74" s="39" t="s">
        <v>227</v>
      </c>
      <c r="D74" s="47"/>
      <c r="E74" s="42"/>
      <c r="F74" s="43" t="s">
        <v>52</v>
      </c>
      <c r="G74" s="43" t="s">
        <v>52</v>
      </c>
      <c r="H74" s="43" t="s">
        <v>52</v>
      </c>
      <c r="I74" s="42"/>
      <c r="J74" s="43" t="s">
        <v>52</v>
      </c>
      <c r="K74" s="43" t="s">
        <v>52</v>
      </c>
      <c r="L74" s="43" t="s">
        <v>52</v>
      </c>
      <c r="M74" s="42"/>
      <c r="N74" s="43" t="s">
        <v>52</v>
      </c>
      <c r="O74" s="43" t="s">
        <v>52</v>
      </c>
      <c r="P74" s="43" t="s">
        <v>52</v>
      </c>
      <c r="Q74" s="42"/>
      <c r="R74" s="43" t="s">
        <v>52</v>
      </c>
      <c r="S74" s="43" t="s">
        <v>52</v>
      </c>
      <c r="T74" s="43" t="s">
        <v>52</v>
      </c>
      <c r="U74" s="42"/>
      <c r="V74" s="39" t="s">
        <v>228</v>
      </c>
      <c r="W74" s="47"/>
      <c r="X74" s="45">
        <v>162499</v>
      </c>
      <c r="Y74" s="47"/>
      <c r="Z74" s="47"/>
      <c r="AA74" s="31" t="s">
        <v>185</v>
      </c>
    </row>
    <row r="75" spans="1:27" ht="25.5" x14ac:dyDescent="0.2">
      <c r="A75" s="30">
        <f t="shared" si="1"/>
        <v>2</v>
      </c>
      <c r="B75" s="39" t="s">
        <v>229</v>
      </c>
      <c r="C75" s="39" t="s">
        <v>230</v>
      </c>
      <c r="D75" s="47"/>
      <c r="E75" s="42"/>
      <c r="F75" s="43" t="s">
        <v>52</v>
      </c>
      <c r="G75" s="43" t="s">
        <v>52</v>
      </c>
      <c r="H75" s="43" t="s">
        <v>52</v>
      </c>
      <c r="I75" s="42"/>
      <c r="J75" s="43" t="s">
        <v>52</v>
      </c>
      <c r="K75" s="43" t="s">
        <v>52</v>
      </c>
      <c r="L75" s="43" t="s">
        <v>52</v>
      </c>
      <c r="M75" s="42"/>
      <c r="N75" s="43" t="s">
        <v>52</v>
      </c>
      <c r="O75" s="43" t="s">
        <v>52</v>
      </c>
      <c r="P75" s="43" t="s">
        <v>52</v>
      </c>
      <c r="Q75" s="42"/>
      <c r="R75" s="43" t="s">
        <v>52</v>
      </c>
      <c r="S75" s="43" t="s">
        <v>52</v>
      </c>
      <c r="T75" s="43" t="s">
        <v>52</v>
      </c>
      <c r="U75" s="42"/>
      <c r="V75" s="39" t="s">
        <v>231</v>
      </c>
      <c r="W75" s="47"/>
      <c r="X75" s="45">
        <v>26337</v>
      </c>
      <c r="Y75" s="47"/>
      <c r="Z75" s="47"/>
      <c r="AA75" s="31" t="s">
        <v>185</v>
      </c>
    </row>
    <row r="76" spans="1:27" ht="25.5" x14ac:dyDescent="0.2">
      <c r="A76" s="30">
        <f t="shared" si="1"/>
        <v>3</v>
      </c>
      <c r="B76" s="39" t="s">
        <v>232</v>
      </c>
      <c r="C76" s="39" t="s">
        <v>233</v>
      </c>
      <c r="D76" s="47"/>
      <c r="E76" s="42"/>
      <c r="F76" s="43" t="s">
        <v>52</v>
      </c>
      <c r="G76" s="43" t="s">
        <v>52</v>
      </c>
      <c r="H76" s="43" t="s">
        <v>52</v>
      </c>
      <c r="I76" s="42"/>
      <c r="J76" s="43" t="s">
        <v>52</v>
      </c>
      <c r="K76" s="43" t="s">
        <v>52</v>
      </c>
      <c r="L76" s="43" t="s">
        <v>52</v>
      </c>
      <c r="M76" s="42"/>
      <c r="N76" s="43" t="s">
        <v>52</v>
      </c>
      <c r="O76" s="43" t="s">
        <v>52</v>
      </c>
      <c r="P76" s="43" t="s">
        <v>52</v>
      </c>
      <c r="Q76" s="42"/>
      <c r="R76" s="43" t="s">
        <v>52</v>
      </c>
      <c r="S76" s="43" t="s">
        <v>52</v>
      </c>
      <c r="T76" s="43" t="s">
        <v>52</v>
      </c>
      <c r="U76" s="42"/>
      <c r="V76" s="39" t="s">
        <v>234</v>
      </c>
      <c r="W76" s="47"/>
      <c r="X76" s="45">
        <v>20574</v>
      </c>
      <c r="Y76" s="47"/>
      <c r="Z76" s="47"/>
      <c r="AA76" s="31" t="s">
        <v>185</v>
      </c>
    </row>
    <row r="77" spans="1:27" ht="25.5" x14ac:dyDescent="0.2">
      <c r="A77" s="30">
        <f t="shared" si="1"/>
        <v>4</v>
      </c>
      <c r="B77" s="39" t="s">
        <v>235</v>
      </c>
      <c r="C77" s="39" t="s">
        <v>236</v>
      </c>
      <c r="D77" s="47"/>
      <c r="E77" s="42"/>
      <c r="F77" s="43"/>
      <c r="G77" s="43"/>
      <c r="H77" s="43" t="s">
        <v>52</v>
      </c>
      <c r="I77" s="42"/>
      <c r="J77" s="43" t="s">
        <v>52</v>
      </c>
      <c r="K77" s="43"/>
      <c r="L77" s="43"/>
      <c r="M77" s="42"/>
      <c r="N77" s="43"/>
      <c r="O77" s="43"/>
      <c r="P77" s="43"/>
      <c r="Q77" s="42"/>
      <c r="R77" s="43"/>
      <c r="S77" s="43"/>
      <c r="T77" s="43"/>
      <c r="U77" s="42"/>
      <c r="V77" s="39" t="s">
        <v>237</v>
      </c>
      <c r="W77" s="47"/>
      <c r="X77" s="45">
        <v>200</v>
      </c>
      <c r="Y77" s="47"/>
      <c r="Z77" s="47"/>
      <c r="AA77" s="31" t="s">
        <v>185</v>
      </c>
    </row>
    <row r="78" spans="1:27" ht="25.5" x14ac:dyDescent="0.2">
      <c r="A78" s="30">
        <f t="shared" si="1"/>
        <v>5</v>
      </c>
      <c r="B78" s="39" t="s">
        <v>238</v>
      </c>
      <c r="C78" s="39" t="s">
        <v>239</v>
      </c>
      <c r="D78" s="47"/>
      <c r="E78" s="42"/>
      <c r="F78" s="43" t="s">
        <v>52</v>
      </c>
      <c r="G78" s="43" t="s">
        <v>52</v>
      </c>
      <c r="H78" s="43" t="s">
        <v>52</v>
      </c>
      <c r="I78" s="42"/>
      <c r="J78" s="43" t="s">
        <v>52</v>
      </c>
      <c r="K78" s="43" t="s">
        <v>52</v>
      </c>
      <c r="L78" s="43" t="s">
        <v>52</v>
      </c>
      <c r="M78" s="42"/>
      <c r="N78" s="43" t="s">
        <v>52</v>
      </c>
      <c r="O78" s="43" t="s">
        <v>52</v>
      </c>
      <c r="P78" s="43" t="s">
        <v>52</v>
      </c>
      <c r="Q78" s="42"/>
      <c r="R78" s="43" t="s">
        <v>52</v>
      </c>
      <c r="S78" s="43" t="s">
        <v>52</v>
      </c>
      <c r="T78" s="43" t="s">
        <v>52</v>
      </c>
      <c r="U78" s="42"/>
      <c r="V78" s="39" t="s">
        <v>240</v>
      </c>
      <c r="W78" s="47"/>
      <c r="X78" s="45">
        <v>68000</v>
      </c>
      <c r="Y78" s="47"/>
      <c r="Z78" s="47"/>
      <c r="AA78" s="31" t="s">
        <v>185</v>
      </c>
    </row>
    <row r="79" spans="1:27" ht="13.5" x14ac:dyDescent="0.2">
      <c r="A79" s="30">
        <f t="shared" si="1"/>
        <v>6</v>
      </c>
      <c r="B79" s="219" t="s">
        <v>241</v>
      </c>
      <c r="C79" s="210" t="s">
        <v>242</v>
      </c>
      <c r="D79" s="47"/>
      <c r="E79" s="42"/>
      <c r="F79" s="43"/>
      <c r="G79" s="43"/>
      <c r="H79" s="43"/>
      <c r="I79" s="42"/>
      <c r="J79" s="43"/>
      <c r="K79" s="43"/>
      <c r="L79" s="43" t="s">
        <v>243</v>
      </c>
      <c r="M79" s="42"/>
      <c r="N79" s="43"/>
      <c r="O79" s="43"/>
      <c r="P79" s="43"/>
      <c r="Q79" s="42"/>
      <c r="R79" s="43"/>
      <c r="S79" s="43"/>
      <c r="T79" s="43"/>
      <c r="U79" s="42"/>
      <c r="V79" s="39" t="s">
        <v>244</v>
      </c>
      <c r="W79" s="47"/>
      <c r="X79" s="45">
        <v>12000</v>
      </c>
      <c r="Y79" s="47"/>
      <c r="Z79" s="47"/>
      <c r="AA79" s="31"/>
    </row>
    <row r="80" spans="1:27" x14ac:dyDescent="0.2">
      <c r="A80" s="30"/>
      <c r="B80" s="256" t="s">
        <v>245</v>
      </c>
      <c r="C80" s="257"/>
      <c r="D80" s="257"/>
      <c r="E80" s="257"/>
      <c r="F80" s="257"/>
      <c r="G80" s="257"/>
      <c r="H80" s="257"/>
      <c r="I80" s="257"/>
      <c r="J80" s="257"/>
      <c r="K80" s="257"/>
      <c r="L80" s="257"/>
      <c r="M80" s="257"/>
      <c r="N80" s="257"/>
      <c r="O80" s="257"/>
      <c r="P80" s="257"/>
      <c r="Q80" s="257"/>
      <c r="R80" s="257"/>
      <c r="S80" s="257"/>
      <c r="T80" s="257"/>
      <c r="U80" s="257"/>
      <c r="V80" s="257"/>
      <c r="W80" s="257"/>
      <c r="X80" s="257"/>
      <c r="Y80" s="257"/>
      <c r="Z80" s="257"/>
      <c r="AA80" s="258"/>
    </row>
    <row r="81" spans="1:28" s="232" customFormat="1" ht="13.5" x14ac:dyDescent="0.2">
      <c r="A81" s="30"/>
      <c r="B81" s="247" t="s">
        <v>246</v>
      </c>
      <c r="C81" s="248"/>
      <c r="D81" s="248"/>
      <c r="E81" s="248"/>
      <c r="F81" s="248"/>
      <c r="G81" s="248"/>
      <c r="H81" s="248"/>
      <c r="I81" s="248"/>
      <c r="J81" s="248"/>
      <c r="K81" s="248"/>
      <c r="L81" s="248"/>
      <c r="M81" s="248"/>
      <c r="N81" s="248"/>
      <c r="O81" s="248"/>
      <c r="P81" s="248"/>
      <c r="Q81" s="248"/>
      <c r="R81" s="248"/>
      <c r="S81" s="248"/>
      <c r="T81" s="248"/>
      <c r="U81" s="248"/>
      <c r="V81" s="248"/>
      <c r="W81" s="248"/>
      <c r="X81" s="248"/>
      <c r="Y81" s="248"/>
      <c r="Z81" s="248"/>
      <c r="AA81" s="249"/>
      <c r="AB81" s="27"/>
    </row>
    <row r="82" spans="1:28" ht="51" x14ac:dyDescent="0.2">
      <c r="A82" s="30">
        <f>+A81+1</f>
        <v>1</v>
      </c>
      <c r="B82" s="39" t="s">
        <v>247</v>
      </c>
      <c r="C82" s="41" t="s">
        <v>528</v>
      </c>
      <c r="D82" s="30"/>
      <c r="E82" s="42"/>
      <c r="F82" s="43"/>
      <c r="G82" s="43"/>
      <c r="H82" s="43"/>
      <c r="I82" s="42"/>
      <c r="J82" s="43"/>
      <c r="K82" s="43"/>
      <c r="L82" s="43"/>
      <c r="M82" s="42"/>
      <c r="N82" s="43"/>
      <c r="O82" s="43"/>
      <c r="P82" s="43"/>
      <c r="Q82" s="42"/>
      <c r="R82" s="43" t="s">
        <v>52</v>
      </c>
      <c r="S82" s="43" t="s">
        <v>52</v>
      </c>
      <c r="T82" s="43" t="s">
        <v>52</v>
      </c>
      <c r="U82" s="42"/>
      <c r="V82" s="39" t="s">
        <v>249</v>
      </c>
      <c r="W82" s="30"/>
      <c r="X82" s="46">
        <v>60000</v>
      </c>
      <c r="Y82" s="30"/>
      <c r="Z82" s="30"/>
      <c r="AA82" s="31" t="s">
        <v>185</v>
      </c>
    </row>
    <row r="83" spans="1:28" ht="51" x14ac:dyDescent="0.2">
      <c r="A83" s="30">
        <f>+A82+1</f>
        <v>2</v>
      </c>
      <c r="B83" s="39" t="s">
        <v>526</v>
      </c>
      <c r="C83" s="39" t="s">
        <v>525</v>
      </c>
      <c r="D83" s="30"/>
      <c r="E83" s="42"/>
      <c r="F83" s="43" t="s">
        <v>52</v>
      </c>
      <c r="G83" s="43" t="s">
        <v>52</v>
      </c>
      <c r="H83" s="43" t="s">
        <v>52</v>
      </c>
      <c r="I83" s="42"/>
      <c r="J83" s="43"/>
      <c r="K83" s="43"/>
      <c r="L83" s="43"/>
      <c r="M83" s="42"/>
      <c r="N83" s="43"/>
      <c r="O83" s="43"/>
      <c r="P83" s="43"/>
      <c r="Q83" s="42"/>
      <c r="R83" s="43"/>
      <c r="S83" s="43"/>
      <c r="T83" s="43"/>
      <c r="U83" s="42"/>
      <c r="V83" s="39" t="s">
        <v>527</v>
      </c>
      <c r="W83" s="30"/>
      <c r="X83" s="46">
        <v>22000</v>
      </c>
      <c r="Y83" s="30"/>
      <c r="Z83" s="30"/>
      <c r="AA83" s="31" t="s">
        <v>185</v>
      </c>
    </row>
    <row r="84" spans="1:28" ht="63.75" x14ac:dyDescent="0.2">
      <c r="A84" s="30">
        <f>+A83+1</f>
        <v>3</v>
      </c>
      <c r="B84" s="31" t="s">
        <v>250</v>
      </c>
      <c r="C84" s="31" t="s">
        <v>251</v>
      </c>
      <c r="D84" s="30"/>
      <c r="E84" s="42"/>
      <c r="F84" s="43" t="s">
        <v>52</v>
      </c>
      <c r="G84" s="43" t="s">
        <v>52</v>
      </c>
      <c r="H84" s="43" t="s">
        <v>52</v>
      </c>
      <c r="I84" s="42"/>
      <c r="J84" s="43" t="s">
        <v>52</v>
      </c>
      <c r="K84" s="43" t="s">
        <v>52</v>
      </c>
      <c r="L84" s="43" t="s">
        <v>52</v>
      </c>
      <c r="M84" s="42"/>
      <c r="N84" s="43" t="s">
        <v>52</v>
      </c>
      <c r="O84" s="43" t="s">
        <v>52</v>
      </c>
      <c r="P84" s="43" t="s">
        <v>52</v>
      </c>
      <c r="Q84" s="42"/>
      <c r="R84" s="43" t="s">
        <v>52</v>
      </c>
      <c r="S84" s="43" t="s">
        <v>52</v>
      </c>
      <c r="T84" s="43" t="s">
        <v>52</v>
      </c>
      <c r="U84" s="42"/>
      <c r="V84" s="39" t="s">
        <v>252</v>
      </c>
      <c r="W84" s="30"/>
      <c r="X84" s="45">
        <v>10000</v>
      </c>
      <c r="Y84" s="30"/>
      <c r="Z84" s="30"/>
      <c r="AA84" s="31" t="s">
        <v>185</v>
      </c>
    </row>
    <row r="85" spans="1:28" ht="25.5" x14ac:dyDescent="0.2">
      <c r="A85" s="30">
        <f t="shared" ref="A85:A90" si="2">+A84+1</f>
        <v>4</v>
      </c>
      <c r="B85" s="31" t="s">
        <v>253</v>
      </c>
      <c r="C85" s="31" t="s">
        <v>254</v>
      </c>
      <c r="D85" s="30"/>
      <c r="E85" s="42"/>
      <c r="F85" s="43"/>
      <c r="G85" s="43"/>
      <c r="H85" s="43" t="s">
        <v>52</v>
      </c>
      <c r="I85" s="42"/>
      <c r="J85" s="43"/>
      <c r="K85" s="43"/>
      <c r="L85" s="43"/>
      <c r="M85" s="42"/>
      <c r="N85" s="43"/>
      <c r="O85" s="43"/>
      <c r="P85" s="43"/>
      <c r="Q85" s="42"/>
      <c r="R85" s="43"/>
      <c r="S85" s="43"/>
      <c r="T85" s="43"/>
      <c r="U85" s="42"/>
      <c r="V85" s="39" t="s">
        <v>255</v>
      </c>
      <c r="W85" s="30"/>
      <c r="X85" s="46">
        <v>38600</v>
      </c>
      <c r="Y85" s="30"/>
      <c r="Z85" s="30"/>
      <c r="AA85" s="31" t="s">
        <v>185</v>
      </c>
    </row>
    <row r="86" spans="1:28" ht="25.5" x14ac:dyDescent="0.2">
      <c r="A86" s="30">
        <f t="shared" si="2"/>
        <v>5</v>
      </c>
      <c r="B86" s="31" t="s">
        <v>256</v>
      </c>
      <c r="C86" s="31" t="s">
        <v>257</v>
      </c>
      <c r="D86" s="30"/>
      <c r="E86" s="42"/>
      <c r="F86" s="43"/>
      <c r="G86" s="43" t="s">
        <v>52</v>
      </c>
      <c r="H86" s="43" t="s">
        <v>52</v>
      </c>
      <c r="I86" s="42"/>
      <c r="J86" s="43" t="s">
        <v>52</v>
      </c>
      <c r="K86" s="43"/>
      <c r="L86" s="43"/>
      <c r="M86" s="42"/>
      <c r="N86" s="43"/>
      <c r="O86" s="43"/>
      <c r="P86" s="43"/>
      <c r="Q86" s="42"/>
      <c r="R86" s="43"/>
      <c r="S86" s="43"/>
      <c r="T86" s="43"/>
      <c r="U86" s="42"/>
      <c r="V86" s="39" t="s">
        <v>258</v>
      </c>
      <c r="W86" s="30"/>
      <c r="X86" s="46">
        <v>30000</v>
      </c>
      <c r="Y86" s="30"/>
      <c r="Z86" s="30"/>
      <c r="AA86" s="31" t="s">
        <v>185</v>
      </c>
    </row>
    <row r="87" spans="1:28" ht="51" x14ac:dyDescent="0.2">
      <c r="A87" s="30">
        <f t="shared" si="2"/>
        <v>6</v>
      </c>
      <c r="B87" s="31" t="s">
        <v>259</v>
      </c>
      <c r="C87" s="31" t="s">
        <v>260</v>
      </c>
      <c r="D87" s="30"/>
      <c r="E87" s="42"/>
      <c r="F87" s="43" t="s">
        <v>52</v>
      </c>
      <c r="G87" s="43" t="s">
        <v>52</v>
      </c>
      <c r="H87" s="43" t="s">
        <v>52</v>
      </c>
      <c r="I87" s="42"/>
      <c r="J87" s="43" t="s">
        <v>52</v>
      </c>
      <c r="K87" s="43" t="s">
        <v>52</v>
      </c>
      <c r="L87" s="43" t="s">
        <v>52</v>
      </c>
      <c r="M87" s="42"/>
      <c r="N87" s="43"/>
      <c r="O87" s="43"/>
      <c r="P87" s="43"/>
      <c r="Q87" s="42"/>
      <c r="R87" s="43"/>
      <c r="S87" s="43"/>
      <c r="T87" s="43"/>
      <c r="U87" s="42"/>
      <c r="V87" s="31" t="s">
        <v>261</v>
      </c>
      <c r="W87" s="30"/>
      <c r="X87" s="46">
        <v>10000</v>
      </c>
      <c r="Y87" s="30"/>
      <c r="Z87" s="30"/>
      <c r="AA87" s="31" t="s">
        <v>262</v>
      </c>
    </row>
    <row r="88" spans="1:28" ht="140.25" x14ac:dyDescent="0.2">
      <c r="A88" s="30">
        <f t="shared" si="2"/>
        <v>7</v>
      </c>
      <c r="B88" s="31" t="s">
        <v>263</v>
      </c>
      <c r="C88" s="31" t="s">
        <v>264</v>
      </c>
      <c r="D88" s="30"/>
      <c r="E88" s="42"/>
      <c r="F88" s="43" t="s">
        <v>52</v>
      </c>
      <c r="G88" s="43" t="s">
        <v>52</v>
      </c>
      <c r="H88" s="43" t="s">
        <v>52</v>
      </c>
      <c r="I88" s="42"/>
      <c r="J88" s="43" t="s">
        <v>52</v>
      </c>
      <c r="K88" s="43" t="s">
        <v>52</v>
      </c>
      <c r="L88" s="43" t="s">
        <v>52</v>
      </c>
      <c r="M88" s="42"/>
      <c r="N88" s="43"/>
      <c r="O88" s="43"/>
      <c r="P88" s="43"/>
      <c r="Q88" s="42"/>
      <c r="R88" s="43"/>
      <c r="S88" s="43"/>
      <c r="T88" s="43"/>
      <c r="U88" s="42"/>
      <c r="V88" s="31" t="s">
        <v>265</v>
      </c>
      <c r="W88" s="30"/>
      <c r="X88" s="46">
        <v>45000</v>
      </c>
      <c r="Y88" s="30"/>
      <c r="Z88" s="30"/>
      <c r="AA88" s="31" t="s">
        <v>262</v>
      </c>
    </row>
    <row r="89" spans="1:28" ht="89.25" x14ac:dyDescent="0.2">
      <c r="A89" s="30">
        <f t="shared" si="2"/>
        <v>8</v>
      </c>
      <c r="B89" s="31" t="s">
        <v>266</v>
      </c>
      <c r="C89" s="31" t="s">
        <v>267</v>
      </c>
      <c r="D89" s="30"/>
      <c r="E89" s="42"/>
      <c r="F89" s="43" t="s">
        <v>52</v>
      </c>
      <c r="G89" s="43" t="s">
        <v>52</v>
      </c>
      <c r="H89" s="43" t="s">
        <v>52</v>
      </c>
      <c r="I89" s="42"/>
      <c r="J89" s="43" t="s">
        <v>52</v>
      </c>
      <c r="K89" s="43" t="s">
        <v>52</v>
      </c>
      <c r="L89" s="43" t="s">
        <v>52</v>
      </c>
      <c r="M89" s="42"/>
      <c r="N89" s="43"/>
      <c r="O89" s="43"/>
      <c r="P89" s="43"/>
      <c r="Q89" s="42"/>
      <c r="R89" s="43"/>
      <c r="S89" s="43"/>
      <c r="T89" s="43"/>
      <c r="U89" s="42"/>
      <c r="V89" s="31" t="s">
        <v>268</v>
      </c>
      <c r="W89" s="30"/>
      <c r="X89" s="46">
        <v>15000</v>
      </c>
      <c r="Y89" s="30"/>
      <c r="Z89" s="30"/>
      <c r="AA89" s="31" t="s">
        <v>262</v>
      </c>
    </row>
    <row r="90" spans="1:28" ht="51" x14ac:dyDescent="0.2">
      <c r="A90" s="30">
        <f t="shared" si="2"/>
        <v>9</v>
      </c>
      <c r="B90" s="31" t="s">
        <v>269</v>
      </c>
      <c r="C90" s="31" t="s">
        <v>270</v>
      </c>
      <c r="D90" s="30"/>
      <c r="E90" s="42"/>
      <c r="F90" s="43" t="s">
        <v>52</v>
      </c>
      <c r="G90" s="43" t="s">
        <v>52</v>
      </c>
      <c r="H90" s="43" t="s">
        <v>52</v>
      </c>
      <c r="I90" s="42"/>
      <c r="J90" s="43" t="s">
        <v>52</v>
      </c>
      <c r="K90" s="43" t="s">
        <v>52</v>
      </c>
      <c r="L90" s="43" t="s">
        <v>52</v>
      </c>
      <c r="M90" s="42"/>
      <c r="N90" s="43"/>
      <c r="O90" s="43"/>
      <c r="P90" s="43"/>
      <c r="Q90" s="42"/>
      <c r="R90" s="43"/>
      <c r="S90" s="43"/>
      <c r="T90" s="43"/>
      <c r="U90" s="42"/>
      <c r="V90" s="31" t="s">
        <v>271</v>
      </c>
      <c r="W90" s="30"/>
      <c r="X90" s="46">
        <v>30000</v>
      </c>
      <c r="Y90" s="30"/>
      <c r="Z90" s="30"/>
      <c r="AA90" s="31" t="s">
        <v>185</v>
      </c>
    </row>
    <row r="91" spans="1:28" ht="13.5" x14ac:dyDescent="0.2">
      <c r="A91" s="30"/>
      <c r="B91" s="234" t="s">
        <v>272</v>
      </c>
      <c r="C91" s="234"/>
      <c r="D91" s="234"/>
      <c r="E91" s="234"/>
      <c r="F91" s="234"/>
      <c r="G91" s="234"/>
      <c r="H91" s="234"/>
      <c r="I91" s="234"/>
      <c r="J91" s="234"/>
      <c r="K91" s="234"/>
      <c r="L91" s="234"/>
      <c r="M91" s="234"/>
      <c r="N91" s="234"/>
      <c r="O91" s="234"/>
      <c r="P91" s="234"/>
      <c r="Q91" s="234"/>
      <c r="R91" s="234"/>
      <c r="S91" s="234"/>
      <c r="T91" s="234"/>
      <c r="U91" s="234"/>
      <c r="V91" s="234"/>
      <c r="W91" s="234"/>
      <c r="X91" s="234"/>
      <c r="Y91" s="234"/>
      <c r="Z91" s="234"/>
      <c r="AA91" s="234"/>
    </row>
    <row r="92" spans="1:28" ht="25.5" x14ac:dyDescent="0.2">
      <c r="A92" s="30">
        <f>1</f>
        <v>1</v>
      </c>
      <c r="B92" s="39" t="s">
        <v>273</v>
      </c>
      <c r="C92" s="41" t="s">
        <v>274</v>
      </c>
      <c r="D92" s="30"/>
      <c r="E92" s="42"/>
      <c r="F92" s="31" t="s">
        <v>52</v>
      </c>
      <c r="G92" s="31" t="s">
        <v>52</v>
      </c>
      <c r="H92" s="31" t="s">
        <v>52</v>
      </c>
      <c r="I92" s="42"/>
      <c r="J92" s="31" t="s">
        <v>52</v>
      </c>
      <c r="K92" s="31" t="s">
        <v>52</v>
      </c>
      <c r="L92" s="31" t="s">
        <v>52</v>
      </c>
      <c r="M92" s="42"/>
      <c r="N92" s="43" t="s">
        <v>52</v>
      </c>
      <c r="O92" s="43" t="s">
        <v>52</v>
      </c>
      <c r="P92" s="43" t="s">
        <v>52</v>
      </c>
      <c r="Q92" s="42"/>
      <c r="R92" s="43" t="s">
        <v>52</v>
      </c>
      <c r="S92" s="43" t="s">
        <v>52</v>
      </c>
      <c r="T92" s="43" t="s">
        <v>52</v>
      </c>
      <c r="U92" s="42"/>
      <c r="V92" s="39" t="s">
        <v>275</v>
      </c>
      <c r="W92" s="30"/>
      <c r="X92" s="45">
        <v>1000</v>
      </c>
      <c r="Y92" s="30"/>
      <c r="Z92" s="30"/>
      <c r="AA92" s="31" t="s">
        <v>276</v>
      </c>
    </row>
    <row r="93" spans="1:28" ht="25.5" x14ac:dyDescent="0.2">
      <c r="A93" s="30">
        <f>+A92+1</f>
        <v>2</v>
      </c>
      <c r="B93" s="39" t="s">
        <v>277</v>
      </c>
      <c r="C93" s="39" t="s">
        <v>278</v>
      </c>
      <c r="D93" s="30"/>
      <c r="E93" s="42"/>
      <c r="F93" s="31"/>
      <c r="G93" s="31"/>
      <c r="H93" s="31"/>
      <c r="I93" s="42"/>
      <c r="J93" s="43"/>
      <c r="K93" s="43"/>
      <c r="L93" s="43"/>
      <c r="M93" s="42"/>
      <c r="N93" s="43"/>
      <c r="O93" s="43"/>
      <c r="P93" s="43" t="s">
        <v>52</v>
      </c>
      <c r="Q93" s="42"/>
      <c r="R93" s="43" t="s">
        <v>52</v>
      </c>
      <c r="S93" s="43"/>
      <c r="T93" s="43"/>
      <c r="U93" s="42"/>
      <c r="V93" s="39" t="s">
        <v>279</v>
      </c>
      <c r="W93" s="30"/>
      <c r="X93" s="45">
        <v>3000</v>
      </c>
      <c r="Y93" s="30"/>
      <c r="Z93" s="30"/>
      <c r="AA93" s="31" t="s">
        <v>276</v>
      </c>
    </row>
    <row r="94" spans="1:28" ht="13.5" x14ac:dyDescent="0.2">
      <c r="A94" s="30"/>
      <c r="B94" s="234" t="s">
        <v>280</v>
      </c>
      <c r="C94" s="234"/>
      <c r="D94" s="234"/>
      <c r="E94" s="234"/>
      <c r="F94" s="234"/>
      <c r="G94" s="234"/>
      <c r="H94" s="234"/>
      <c r="I94" s="234"/>
      <c r="J94" s="234"/>
      <c r="K94" s="234"/>
      <c r="L94" s="234"/>
      <c r="M94" s="234"/>
      <c r="N94" s="234"/>
      <c r="O94" s="234"/>
      <c r="P94" s="234"/>
      <c r="Q94" s="234"/>
      <c r="R94" s="234"/>
      <c r="S94" s="234"/>
      <c r="T94" s="234"/>
      <c r="U94" s="234"/>
      <c r="V94" s="234"/>
      <c r="W94" s="234"/>
      <c r="X94" s="234"/>
      <c r="Y94" s="234"/>
      <c r="Z94" s="234"/>
      <c r="AA94" s="234"/>
    </row>
    <row r="95" spans="1:28" ht="25.5" x14ac:dyDescent="0.2">
      <c r="A95" s="30">
        <f>1</f>
        <v>1</v>
      </c>
      <c r="B95" s="39" t="s">
        <v>281</v>
      </c>
      <c r="C95" s="41" t="s">
        <v>282</v>
      </c>
      <c r="D95" s="30"/>
      <c r="E95" s="42"/>
      <c r="F95" s="43"/>
      <c r="G95" s="43"/>
      <c r="H95" s="43"/>
      <c r="I95" s="42"/>
      <c r="J95" s="43"/>
      <c r="K95" s="43"/>
      <c r="L95" s="43"/>
      <c r="M95" s="42"/>
      <c r="N95" s="43" t="s">
        <v>52</v>
      </c>
      <c r="O95" s="43" t="s">
        <v>52</v>
      </c>
      <c r="P95" s="43" t="s">
        <v>52</v>
      </c>
      <c r="Q95" s="42"/>
      <c r="R95" s="43"/>
      <c r="S95" s="43"/>
      <c r="T95" s="43"/>
      <c r="U95" s="42"/>
      <c r="V95" s="31" t="s">
        <v>283</v>
      </c>
      <c r="W95" s="30"/>
      <c r="X95" s="45">
        <v>21566</v>
      </c>
      <c r="Y95" s="30"/>
      <c r="Z95" s="30"/>
      <c r="AA95" s="31" t="s">
        <v>276</v>
      </c>
    </row>
    <row r="96" spans="1:28" ht="25.5" x14ac:dyDescent="0.2">
      <c r="A96" s="30">
        <f t="shared" ref="A96:A110" si="3">+A95+1</f>
        <v>2</v>
      </c>
      <c r="B96" s="39" t="s">
        <v>284</v>
      </c>
      <c r="C96" s="41" t="s">
        <v>285</v>
      </c>
      <c r="D96" s="30"/>
      <c r="E96" s="42"/>
      <c r="F96" s="43"/>
      <c r="G96" s="43"/>
      <c r="H96" s="43"/>
      <c r="I96" s="42"/>
      <c r="J96" s="43"/>
      <c r="K96" s="43"/>
      <c r="L96" s="43"/>
      <c r="M96" s="42"/>
      <c r="N96" s="43"/>
      <c r="O96" s="43" t="s">
        <v>52</v>
      </c>
      <c r="P96" s="43"/>
      <c r="Q96" s="42"/>
      <c r="R96" s="43"/>
      <c r="S96" s="43"/>
      <c r="T96" s="43"/>
      <c r="U96" s="42"/>
      <c r="V96" s="31" t="s">
        <v>286</v>
      </c>
      <c r="W96" s="30"/>
      <c r="X96" s="45">
        <v>13000</v>
      </c>
      <c r="Y96" s="30"/>
      <c r="Z96" s="30"/>
      <c r="AA96" s="31" t="s">
        <v>276</v>
      </c>
    </row>
    <row r="97" spans="1:27" ht="45.75" customHeight="1" x14ac:dyDescent="0.2">
      <c r="A97" s="30">
        <f t="shared" si="3"/>
        <v>3</v>
      </c>
      <c r="B97" s="39" t="s">
        <v>287</v>
      </c>
      <c r="C97" s="41" t="s">
        <v>288</v>
      </c>
      <c r="D97" s="41"/>
      <c r="E97" s="42"/>
      <c r="F97" s="43"/>
      <c r="G97" s="43"/>
      <c r="H97" s="43"/>
      <c r="I97" s="42"/>
      <c r="J97" s="43" t="s">
        <v>52</v>
      </c>
      <c r="K97" s="43" t="s">
        <v>52</v>
      </c>
      <c r="L97" s="43" t="s">
        <v>52</v>
      </c>
      <c r="M97" s="42"/>
      <c r="N97" s="43"/>
      <c r="O97" s="43"/>
      <c r="P97" s="43"/>
      <c r="Q97" s="42"/>
      <c r="R97" s="43"/>
      <c r="S97" s="43"/>
      <c r="T97" s="43"/>
      <c r="U97" s="42"/>
      <c r="V97" s="31" t="s">
        <v>289</v>
      </c>
      <c r="W97" s="30"/>
      <c r="X97" s="45">
        <v>4000</v>
      </c>
      <c r="Y97" s="30"/>
      <c r="Z97" s="30"/>
      <c r="AA97" s="31" t="s">
        <v>290</v>
      </c>
    </row>
    <row r="98" spans="1:27" ht="13.5" x14ac:dyDescent="0.2">
      <c r="A98" s="30"/>
      <c r="B98" s="234" t="s">
        <v>291</v>
      </c>
      <c r="C98" s="234"/>
      <c r="D98" s="234"/>
      <c r="E98" s="234"/>
      <c r="F98" s="234"/>
      <c r="G98" s="234"/>
      <c r="H98" s="234"/>
      <c r="I98" s="234"/>
      <c r="J98" s="234"/>
      <c r="K98" s="234"/>
      <c r="L98" s="234"/>
      <c r="M98" s="234"/>
      <c r="N98" s="234"/>
      <c r="O98" s="234"/>
      <c r="P98" s="234"/>
      <c r="Q98" s="234"/>
      <c r="R98" s="234"/>
      <c r="S98" s="234"/>
      <c r="T98" s="234"/>
      <c r="U98" s="234"/>
      <c r="V98" s="234"/>
      <c r="W98" s="234"/>
      <c r="X98" s="234"/>
      <c r="Y98" s="234"/>
      <c r="Z98" s="234"/>
      <c r="AA98" s="234"/>
    </row>
    <row r="99" spans="1:27" ht="63.75" x14ac:dyDescent="0.2">
      <c r="A99" s="30">
        <f>1</f>
        <v>1</v>
      </c>
      <c r="B99" s="31" t="s">
        <v>292</v>
      </c>
      <c r="C99" s="31" t="s">
        <v>293</v>
      </c>
      <c r="D99" s="30"/>
      <c r="E99" s="42"/>
      <c r="F99" s="43" t="s">
        <v>52</v>
      </c>
      <c r="G99" s="43" t="s">
        <v>52</v>
      </c>
      <c r="H99" s="43" t="s">
        <v>52</v>
      </c>
      <c r="I99" s="42"/>
      <c r="J99" s="43" t="s">
        <v>52</v>
      </c>
      <c r="K99" s="43" t="s">
        <v>52</v>
      </c>
      <c r="L99" s="43" t="s">
        <v>52</v>
      </c>
      <c r="M99" s="42"/>
      <c r="N99" s="43" t="s">
        <v>52</v>
      </c>
      <c r="O99" s="43" t="s">
        <v>52</v>
      </c>
      <c r="P99" s="43" t="s">
        <v>52</v>
      </c>
      <c r="Q99" s="42"/>
      <c r="R99" s="43" t="s">
        <v>52</v>
      </c>
      <c r="S99" s="43" t="s">
        <v>52</v>
      </c>
      <c r="T99" s="43" t="s">
        <v>52</v>
      </c>
      <c r="U99" s="42"/>
      <c r="V99" s="31" t="s">
        <v>294</v>
      </c>
      <c r="W99" s="31" t="s">
        <v>295</v>
      </c>
      <c r="X99" s="45">
        <v>3000</v>
      </c>
      <c r="Y99" s="30"/>
      <c r="Z99" s="30"/>
      <c r="AA99" s="31" t="s">
        <v>185</v>
      </c>
    </row>
    <row r="100" spans="1:27" x14ac:dyDescent="0.2">
      <c r="A100" s="30"/>
      <c r="B100" s="261" t="s">
        <v>296</v>
      </c>
      <c r="C100" s="261"/>
      <c r="D100" s="261"/>
      <c r="E100" s="261"/>
      <c r="F100" s="261"/>
      <c r="G100" s="261"/>
      <c r="H100" s="261"/>
      <c r="I100" s="261"/>
      <c r="J100" s="261"/>
      <c r="K100" s="261"/>
      <c r="L100" s="261"/>
      <c r="M100" s="261"/>
      <c r="N100" s="261"/>
      <c r="O100" s="261"/>
      <c r="P100" s="261"/>
      <c r="Q100" s="261"/>
      <c r="R100" s="261"/>
      <c r="S100" s="261"/>
      <c r="T100" s="261"/>
      <c r="U100" s="261"/>
      <c r="V100" s="261"/>
      <c r="W100" s="261"/>
      <c r="X100" s="261"/>
      <c r="Y100" s="261"/>
      <c r="Z100" s="261"/>
      <c r="AA100" s="261"/>
    </row>
    <row r="101" spans="1:27" ht="13.5" x14ac:dyDescent="0.2">
      <c r="A101" s="30"/>
      <c r="B101" s="234" t="s">
        <v>297</v>
      </c>
      <c r="C101" s="234"/>
      <c r="D101" s="234"/>
      <c r="E101" s="234"/>
      <c r="F101" s="234"/>
      <c r="G101" s="234"/>
      <c r="H101" s="234"/>
      <c r="I101" s="234"/>
      <c r="J101" s="234"/>
      <c r="K101" s="234"/>
      <c r="L101" s="234"/>
      <c r="M101" s="234"/>
      <c r="N101" s="234"/>
      <c r="O101" s="234"/>
      <c r="P101" s="234"/>
      <c r="Q101" s="234"/>
      <c r="R101" s="234"/>
      <c r="S101" s="234"/>
      <c r="T101" s="234"/>
      <c r="U101" s="234"/>
      <c r="V101" s="234"/>
      <c r="W101" s="234"/>
      <c r="X101" s="234"/>
      <c r="Y101" s="234"/>
      <c r="Z101" s="234"/>
      <c r="AA101" s="234"/>
    </row>
    <row r="102" spans="1:27" ht="38.25" x14ac:dyDescent="0.2">
      <c r="A102" s="30">
        <f>1</f>
        <v>1</v>
      </c>
      <c r="B102" s="39" t="s">
        <v>298</v>
      </c>
      <c r="C102" s="39" t="s">
        <v>299</v>
      </c>
      <c r="D102" s="30"/>
      <c r="E102" s="32"/>
      <c r="F102" s="43"/>
      <c r="G102" s="43"/>
      <c r="H102" s="43" t="s">
        <v>52</v>
      </c>
      <c r="I102" s="32"/>
      <c r="J102" s="43" t="s">
        <v>52</v>
      </c>
      <c r="K102" s="43" t="s">
        <v>52</v>
      </c>
      <c r="L102" s="43" t="s">
        <v>52</v>
      </c>
      <c r="M102" s="32"/>
      <c r="N102" s="43" t="s">
        <v>52</v>
      </c>
      <c r="O102" s="43" t="s">
        <v>52</v>
      </c>
      <c r="P102" s="43" t="s">
        <v>52</v>
      </c>
      <c r="Q102" s="32"/>
      <c r="R102" s="43" t="s">
        <v>52</v>
      </c>
      <c r="S102" s="43" t="s">
        <v>52</v>
      </c>
      <c r="T102" s="43" t="s">
        <v>52</v>
      </c>
      <c r="U102" s="42"/>
      <c r="V102" s="31" t="s">
        <v>300</v>
      </c>
      <c r="W102" s="42"/>
      <c r="X102" s="45">
        <v>2595</v>
      </c>
      <c r="Y102" s="30"/>
      <c r="Z102" s="30"/>
      <c r="AA102" s="31" t="s">
        <v>185</v>
      </c>
    </row>
    <row r="103" spans="1:27" ht="63.75" x14ac:dyDescent="0.2">
      <c r="A103" s="30">
        <f t="shared" si="3"/>
        <v>2</v>
      </c>
      <c r="B103" s="39" t="s">
        <v>301</v>
      </c>
      <c r="C103" s="39" t="s">
        <v>302</v>
      </c>
      <c r="D103" s="30"/>
      <c r="E103" s="32"/>
      <c r="F103" s="43" t="s">
        <v>52</v>
      </c>
      <c r="G103" s="43" t="s">
        <v>52</v>
      </c>
      <c r="H103" s="43" t="s">
        <v>52</v>
      </c>
      <c r="I103" s="32"/>
      <c r="J103" s="43" t="s">
        <v>52</v>
      </c>
      <c r="K103" s="43" t="s">
        <v>52</v>
      </c>
      <c r="L103" s="43" t="s">
        <v>52</v>
      </c>
      <c r="M103" s="32"/>
      <c r="N103" s="43" t="s">
        <v>52</v>
      </c>
      <c r="O103" s="43" t="s">
        <v>52</v>
      </c>
      <c r="P103" s="43" t="s">
        <v>52</v>
      </c>
      <c r="Q103" s="32"/>
      <c r="R103" s="43" t="s">
        <v>52</v>
      </c>
      <c r="S103" s="43" t="s">
        <v>52</v>
      </c>
      <c r="T103" s="43" t="s">
        <v>52</v>
      </c>
      <c r="U103" s="42"/>
      <c r="V103" s="31" t="s">
        <v>303</v>
      </c>
      <c r="W103" s="42"/>
      <c r="X103" s="45">
        <v>13206</v>
      </c>
      <c r="Y103" s="30"/>
      <c r="Z103" s="30"/>
      <c r="AA103" s="31" t="s">
        <v>185</v>
      </c>
    </row>
    <row r="104" spans="1:27" ht="38.25" x14ac:dyDescent="0.2">
      <c r="A104" s="30">
        <f t="shared" si="3"/>
        <v>3</v>
      </c>
      <c r="B104" s="39" t="s">
        <v>304</v>
      </c>
      <c r="C104" s="39" t="s">
        <v>305</v>
      </c>
      <c r="D104" s="30"/>
      <c r="E104" s="32"/>
      <c r="F104" s="43" t="s">
        <v>52</v>
      </c>
      <c r="G104" s="43" t="s">
        <v>52</v>
      </c>
      <c r="H104" s="43" t="s">
        <v>52</v>
      </c>
      <c r="I104" s="32"/>
      <c r="J104" s="43" t="s">
        <v>52</v>
      </c>
      <c r="K104" s="43" t="s">
        <v>52</v>
      </c>
      <c r="L104" s="43" t="s">
        <v>52</v>
      </c>
      <c r="M104" s="32"/>
      <c r="N104" s="43" t="s">
        <v>52</v>
      </c>
      <c r="O104" s="43" t="s">
        <v>52</v>
      </c>
      <c r="P104" s="43" t="s">
        <v>52</v>
      </c>
      <c r="Q104" s="32"/>
      <c r="R104" s="43" t="s">
        <v>52</v>
      </c>
      <c r="S104" s="43" t="s">
        <v>52</v>
      </c>
      <c r="T104" s="43" t="s">
        <v>52</v>
      </c>
      <c r="U104" s="42"/>
      <c r="V104" s="31" t="s">
        <v>306</v>
      </c>
      <c r="W104" s="42"/>
      <c r="X104" s="45">
        <v>8000</v>
      </c>
      <c r="Y104" s="30"/>
      <c r="Z104" s="30"/>
      <c r="AA104" s="31" t="s">
        <v>185</v>
      </c>
    </row>
    <row r="105" spans="1:27" ht="38.25" x14ac:dyDescent="0.2">
      <c r="A105" s="30">
        <f t="shared" si="3"/>
        <v>4</v>
      </c>
      <c r="B105" s="39" t="s">
        <v>307</v>
      </c>
      <c r="C105" s="39" t="s">
        <v>308</v>
      </c>
      <c r="D105" s="30"/>
      <c r="E105" s="32"/>
      <c r="F105" s="43" t="s">
        <v>52</v>
      </c>
      <c r="G105" s="43" t="s">
        <v>52</v>
      </c>
      <c r="H105" s="43" t="s">
        <v>52</v>
      </c>
      <c r="I105" s="32"/>
      <c r="J105" s="43" t="s">
        <v>52</v>
      </c>
      <c r="K105" s="43" t="s">
        <v>52</v>
      </c>
      <c r="L105" s="43" t="s">
        <v>52</v>
      </c>
      <c r="M105" s="32"/>
      <c r="N105" s="43" t="s">
        <v>52</v>
      </c>
      <c r="O105" s="43" t="s">
        <v>52</v>
      </c>
      <c r="P105" s="43" t="s">
        <v>52</v>
      </c>
      <c r="Q105" s="32"/>
      <c r="R105" s="43" t="s">
        <v>52</v>
      </c>
      <c r="S105" s="43" t="s">
        <v>52</v>
      </c>
      <c r="T105" s="43" t="s">
        <v>52</v>
      </c>
      <c r="U105" s="42"/>
      <c r="V105" s="31" t="s">
        <v>309</v>
      </c>
      <c r="W105" s="42"/>
      <c r="X105" s="45">
        <v>20000</v>
      </c>
      <c r="Y105" s="30"/>
      <c r="Z105" s="30"/>
      <c r="AA105" s="31" t="s">
        <v>185</v>
      </c>
    </row>
    <row r="106" spans="1:27" ht="13.5" x14ac:dyDescent="0.2">
      <c r="A106" s="30"/>
      <c r="B106" s="234" t="s">
        <v>310</v>
      </c>
      <c r="C106" s="234"/>
      <c r="D106" s="234"/>
      <c r="E106" s="234"/>
      <c r="F106" s="234"/>
      <c r="G106" s="234"/>
      <c r="H106" s="234"/>
      <c r="I106" s="234"/>
      <c r="J106" s="234"/>
      <c r="K106" s="234"/>
      <c r="L106" s="234"/>
      <c r="M106" s="234"/>
      <c r="N106" s="234"/>
      <c r="O106" s="234"/>
      <c r="P106" s="234"/>
      <c r="Q106" s="234"/>
      <c r="R106" s="234"/>
      <c r="S106" s="234"/>
      <c r="T106" s="234"/>
      <c r="U106" s="234"/>
      <c r="V106" s="234"/>
      <c r="W106" s="234"/>
      <c r="X106" s="234"/>
      <c r="Y106" s="234"/>
      <c r="Z106" s="234"/>
      <c r="AA106" s="234"/>
    </row>
    <row r="107" spans="1:27" ht="25.5" x14ac:dyDescent="0.2">
      <c r="A107" s="30">
        <f>1</f>
        <v>1</v>
      </c>
      <c r="B107" s="39" t="s">
        <v>311</v>
      </c>
      <c r="C107" s="39" t="s">
        <v>312</v>
      </c>
      <c r="D107" s="39"/>
      <c r="E107" s="32"/>
      <c r="F107" s="230"/>
      <c r="G107" s="230"/>
      <c r="H107" s="230"/>
      <c r="I107" s="32"/>
      <c r="J107" s="230"/>
      <c r="K107" s="230"/>
      <c r="L107" s="230"/>
      <c r="M107" s="32"/>
      <c r="N107" s="230" t="s">
        <v>52</v>
      </c>
      <c r="O107" s="230"/>
      <c r="P107" s="230"/>
      <c r="Q107" s="32"/>
      <c r="R107" s="230"/>
      <c r="S107" s="230"/>
      <c r="T107" s="230"/>
      <c r="U107" s="32"/>
      <c r="V107" s="34" t="s">
        <v>313</v>
      </c>
      <c r="W107" s="42"/>
      <c r="X107" s="37">
        <v>3582</v>
      </c>
      <c r="Y107" s="28"/>
      <c r="Z107" s="48"/>
      <c r="AA107" s="29" t="s">
        <v>185</v>
      </c>
    </row>
    <row r="108" spans="1:27" ht="25.5" x14ac:dyDescent="0.2">
      <c r="A108" s="30">
        <f t="shared" si="3"/>
        <v>2</v>
      </c>
      <c r="B108" s="39" t="s">
        <v>314</v>
      </c>
      <c r="C108" s="39" t="s">
        <v>315</v>
      </c>
      <c r="D108" s="39"/>
      <c r="E108" s="32"/>
      <c r="F108" s="230"/>
      <c r="G108" s="230"/>
      <c r="H108" s="230" t="s">
        <v>52</v>
      </c>
      <c r="I108" s="32"/>
      <c r="J108" s="230"/>
      <c r="K108" s="230"/>
      <c r="L108" s="230"/>
      <c r="M108" s="32"/>
      <c r="N108" s="230"/>
      <c r="O108" s="230"/>
      <c r="P108" s="230"/>
      <c r="Q108" s="32"/>
      <c r="R108" s="230"/>
      <c r="S108" s="230"/>
      <c r="T108" s="230"/>
      <c r="U108" s="32"/>
      <c r="V108" s="34" t="s">
        <v>316</v>
      </c>
      <c r="W108" s="42"/>
      <c r="X108" s="37">
        <v>6372</v>
      </c>
      <c r="Y108" s="28"/>
      <c r="Z108" s="48"/>
      <c r="AA108" s="29" t="s">
        <v>185</v>
      </c>
    </row>
    <row r="109" spans="1:27" ht="25.5" x14ac:dyDescent="0.2">
      <c r="A109" s="30">
        <f t="shared" si="3"/>
        <v>3</v>
      </c>
      <c r="B109" s="39" t="s">
        <v>320</v>
      </c>
      <c r="C109" s="39" t="s">
        <v>321</v>
      </c>
      <c r="D109" s="217"/>
      <c r="E109" s="32"/>
      <c r="F109" s="43"/>
      <c r="G109" s="43"/>
      <c r="H109" s="43"/>
      <c r="I109" s="32"/>
      <c r="J109" s="43" t="s">
        <v>52</v>
      </c>
      <c r="K109" s="43"/>
      <c r="L109" s="43"/>
      <c r="M109" s="32"/>
      <c r="N109" s="43"/>
      <c r="O109" s="43"/>
      <c r="P109" s="43"/>
      <c r="Q109" s="32"/>
      <c r="R109" s="43"/>
      <c r="S109" s="43"/>
      <c r="T109" s="43"/>
      <c r="U109" s="32"/>
      <c r="V109" s="39" t="s">
        <v>322</v>
      </c>
      <c r="W109" s="42"/>
      <c r="X109" s="45">
        <v>30000</v>
      </c>
      <c r="Y109" s="48"/>
      <c r="Z109" s="48"/>
      <c r="AA109" s="29" t="s">
        <v>185</v>
      </c>
    </row>
    <row r="110" spans="1:27" ht="38.25" x14ac:dyDescent="0.2">
      <c r="A110" s="30">
        <f t="shared" si="3"/>
        <v>4</v>
      </c>
      <c r="B110" s="39" t="s">
        <v>323</v>
      </c>
      <c r="C110" s="39" t="s">
        <v>324</v>
      </c>
      <c r="D110" s="217"/>
      <c r="E110" s="32"/>
      <c r="F110" s="43"/>
      <c r="G110" s="43"/>
      <c r="H110" s="43"/>
      <c r="I110" s="32"/>
      <c r="J110" s="43"/>
      <c r="K110" s="43"/>
      <c r="L110" s="43"/>
      <c r="M110" s="32"/>
      <c r="N110" s="43"/>
      <c r="O110" s="43" t="s">
        <v>52</v>
      </c>
      <c r="P110" s="43" t="s">
        <v>52</v>
      </c>
      <c r="Q110" s="32"/>
      <c r="R110" s="43"/>
      <c r="S110" s="43"/>
      <c r="T110" s="43"/>
      <c r="U110" s="32"/>
      <c r="V110" s="39" t="s">
        <v>325</v>
      </c>
      <c r="W110" s="42"/>
      <c r="X110" s="45">
        <v>62255</v>
      </c>
      <c r="Y110" s="48"/>
      <c r="Z110" s="48"/>
      <c r="AA110" s="29" t="s">
        <v>185</v>
      </c>
    </row>
    <row r="111" spans="1:27" x14ac:dyDescent="0.2">
      <c r="X111" s="233"/>
    </row>
    <row r="112" spans="1:27" x14ac:dyDescent="0.2">
      <c r="X112" s="233">
        <f>SUM(X10:X27,X29:X30,X32:X33,X35,X38:X41,X43:X46,X48,X51:X55,X57:X58,X60:X64,X66:X72,X74:X79,X82:X90,X92:X93,X95:X97,X99,X102:X105,X107:X110)</f>
        <v>1525353</v>
      </c>
    </row>
    <row r="113" spans="24:24" x14ac:dyDescent="0.2">
      <c r="X113" s="233"/>
    </row>
    <row r="114" spans="24:24" x14ac:dyDescent="0.2">
      <c r="X114" s="233"/>
    </row>
  </sheetData>
  <mergeCells count="47">
    <mergeCell ref="B100:AA100"/>
    <mergeCell ref="B101:AA101"/>
    <mergeCell ref="B34:AA34"/>
    <mergeCell ref="B28:AA28"/>
    <mergeCell ref="B9:AA9"/>
    <mergeCell ref="B31:AA31"/>
    <mergeCell ref="B65:AA65"/>
    <mergeCell ref="B98:AA98"/>
    <mergeCell ref="B73:AA73"/>
    <mergeCell ref="E6:E7"/>
    <mergeCell ref="I6:I7"/>
    <mergeCell ref="Z6:Z7"/>
    <mergeCell ref="D6:D7"/>
    <mergeCell ref="W6:W7"/>
    <mergeCell ref="F6:H6"/>
    <mergeCell ref="C6:C7"/>
    <mergeCell ref="B81:AA81"/>
    <mergeCell ref="B91:AA91"/>
    <mergeCell ref="B94:AA94"/>
    <mergeCell ref="B50:AA50"/>
    <mergeCell ref="B56:AA56"/>
    <mergeCell ref="B59:AA59"/>
    <mergeCell ref="B49:AA49"/>
    <mergeCell ref="B80:AA80"/>
    <mergeCell ref="B36:AA36"/>
    <mergeCell ref="B6:B7"/>
    <mergeCell ref="B8:AA8"/>
    <mergeCell ref="B47:AA47"/>
    <mergeCell ref="B42:AA42"/>
    <mergeCell ref="B37:AA37"/>
    <mergeCell ref="R6:T6"/>
    <mergeCell ref="B106:AA106"/>
    <mergeCell ref="G2:H2"/>
    <mergeCell ref="G1:AA1"/>
    <mergeCell ref="M6:M7"/>
    <mergeCell ref="Q6:Q7"/>
    <mergeCell ref="J6:L6"/>
    <mergeCell ref="N6:P6"/>
    <mergeCell ref="Y6:Y7"/>
    <mergeCell ref="E3:AA3"/>
    <mergeCell ref="G4:H4"/>
    <mergeCell ref="I4:AA4"/>
    <mergeCell ref="E5:AA5"/>
    <mergeCell ref="U6:U7"/>
    <mergeCell ref="V6:V7"/>
    <mergeCell ref="X6:X7"/>
    <mergeCell ref="AA6:AA7"/>
  </mergeCells>
  <pageMargins left="0.7" right="0.7" top="0.75" bottom="0.75" header="0.3" footer="0.3"/>
  <pageSetup orientation="portrait"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E9"/>
  <sheetViews>
    <sheetView workbookViewId="0"/>
  </sheetViews>
  <sheetFormatPr baseColWidth="10" defaultColWidth="11.42578125" defaultRowHeight="15" x14ac:dyDescent="0.25"/>
  <cols>
    <col min="2" max="2" width="25.42578125" customWidth="1"/>
    <col min="3" max="3" width="24.42578125" customWidth="1"/>
    <col min="4" max="4" width="19.140625" customWidth="1"/>
    <col min="5" max="5" width="22.42578125" customWidth="1"/>
  </cols>
  <sheetData>
    <row r="2" spans="1:31" x14ac:dyDescent="0.25">
      <c r="B2" t="s">
        <v>7</v>
      </c>
    </row>
    <row r="4" spans="1:31" ht="18.75" x14ac:dyDescent="0.3">
      <c r="A4" s="89"/>
      <c r="B4" s="89"/>
      <c r="C4" s="79" t="s">
        <v>379</v>
      </c>
      <c r="D4" s="79" t="s">
        <v>380</v>
      </c>
      <c r="E4" s="79" t="s">
        <v>381</v>
      </c>
    </row>
    <row r="5" spans="1:31" ht="56.25" x14ac:dyDescent="0.3">
      <c r="A5" s="89" t="s">
        <v>476</v>
      </c>
      <c r="B5" s="90" t="s">
        <v>477</v>
      </c>
      <c r="C5" s="91">
        <f>+'C4A'!I17</f>
        <v>398900</v>
      </c>
      <c r="D5" s="91"/>
      <c r="E5" s="91"/>
      <c r="F5" s="62"/>
      <c r="G5" s="62"/>
      <c r="H5" s="62"/>
      <c r="I5" s="62"/>
      <c r="J5" s="62"/>
      <c r="K5" s="62"/>
      <c r="L5" s="62"/>
      <c r="M5" s="62"/>
      <c r="N5" s="62"/>
      <c r="O5" s="62"/>
      <c r="P5" s="62"/>
      <c r="Q5" s="62"/>
      <c r="R5" s="62"/>
      <c r="S5" s="62"/>
      <c r="T5" s="62"/>
      <c r="U5" s="62"/>
      <c r="V5" s="62"/>
      <c r="W5" s="62"/>
      <c r="X5" s="62"/>
      <c r="Y5" s="62"/>
      <c r="Z5" s="62"/>
      <c r="AA5" s="62"/>
      <c r="AB5" s="62"/>
      <c r="AC5" s="62"/>
      <c r="AD5" s="62"/>
      <c r="AE5" s="62"/>
    </row>
    <row r="6" spans="1:31" ht="37.5" x14ac:dyDescent="0.3">
      <c r="A6" s="89" t="s">
        <v>478</v>
      </c>
      <c r="B6" s="92" t="s">
        <v>479</v>
      </c>
      <c r="C6" s="88">
        <f>+'C4B'!I7</f>
        <v>4000</v>
      </c>
      <c r="D6" s="88"/>
      <c r="E6" s="88"/>
      <c r="F6" s="63"/>
      <c r="G6" s="63"/>
      <c r="H6" s="63"/>
      <c r="I6" s="63"/>
      <c r="J6" s="63"/>
      <c r="K6" s="63"/>
      <c r="L6" s="63"/>
      <c r="M6" s="63"/>
      <c r="N6" s="63"/>
      <c r="O6" s="63"/>
      <c r="P6" s="63"/>
      <c r="Q6" s="63"/>
      <c r="R6" s="63"/>
      <c r="S6" s="63"/>
      <c r="T6" s="63"/>
      <c r="U6" s="63"/>
      <c r="V6" s="63"/>
      <c r="W6" s="63"/>
      <c r="X6" s="63"/>
      <c r="Y6" s="63"/>
      <c r="Z6" s="63"/>
      <c r="AA6" s="63"/>
      <c r="AB6" s="63"/>
      <c r="AC6" s="63"/>
      <c r="AD6" s="63"/>
      <c r="AE6" s="63"/>
    </row>
    <row r="7" spans="1:31" ht="56.25" x14ac:dyDescent="0.3">
      <c r="A7" s="89" t="s">
        <v>480</v>
      </c>
      <c r="B7" s="92" t="s">
        <v>481</v>
      </c>
      <c r="C7" s="88">
        <f>+'C4C'!J8</f>
        <v>38566</v>
      </c>
      <c r="D7" s="88"/>
      <c r="E7" s="88"/>
      <c r="F7" s="63"/>
      <c r="G7" s="63"/>
      <c r="H7" s="63"/>
      <c r="I7" s="63"/>
      <c r="J7" s="63"/>
      <c r="K7" s="63"/>
      <c r="L7" s="63"/>
      <c r="M7" s="63"/>
      <c r="N7" s="63"/>
      <c r="O7" s="63"/>
      <c r="P7" s="63"/>
      <c r="Q7" s="63"/>
      <c r="R7" s="63"/>
      <c r="S7" s="63"/>
      <c r="T7" s="63"/>
      <c r="U7" s="63"/>
      <c r="V7" s="63"/>
      <c r="W7" s="63"/>
      <c r="X7" s="63"/>
      <c r="Y7" s="63"/>
      <c r="Z7" s="63"/>
      <c r="AA7" s="63"/>
      <c r="AB7" s="63"/>
      <c r="AC7" s="63"/>
      <c r="AD7" s="63"/>
      <c r="AE7" s="63"/>
    </row>
    <row r="8" spans="1:31" ht="56.25" x14ac:dyDescent="0.3">
      <c r="A8" s="89" t="s">
        <v>482</v>
      </c>
      <c r="B8" s="92" t="s">
        <v>483</v>
      </c>
      <c r="C8" s="88">
        <f>+'C4D'!J7</f>
        <v>3000</v>
      </c>
      <c r="D8" s="88"/>
      <c r="E8" s="88"/>
      <c r="F8" s="63"/>
      <c r="G8" s="63"/>
      <c r="H8" s="63"/>
      <c r="I8" s="63"/>
      <c r="J8" s="63"/>
      <c r="K8" s="63"/>
      <c r="L8" s="63"/>
      <c r="M8" s="63"/>
      <c r="N8" s="63"/>
      <c r="O8" s="63"/>
      <c r="P8" s="63"/>
      <c r="Q8" s="63"/>
      <c r="R8" s="63"/>
      <c r="S8" s="63"/>
      <c r="T8" s="63"/>
      <c r="U8" s="63"/>
      <c r="V8" s="63"/>
      <c r="W8" s="63"/>
      <c r="X8" s="63"/>
      <c r="Y8" s="63"/>
      <c r="Z8" s="63"/>
      <c r="AA8" s="63"/>
      <c r="AB8" s="63"/>
      <c r="AC8" s="63"/>
      <c r="AD8" s="63"/>
      <c r="AE8" s="63"/>
    </row>
    <row r="9" spans="1:31" ht="18.75" x14ac:dyDescent="0.3">
      <c r="A9" s="89"/>
      <c r="B9" s="92" t="s">
        <v>9</v>
      </c>
      <c r="C9" s="89">
        <f>SUM(C5:C8)</f>
        <v>444466</v>
      </c>
      <c r="D9" s="89"/>
      <c r="E9" s="89"/>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7"/>
  <sheetViews>
    <sheetView workbookViewId="0"/>
  </sheetViews>
  <sheetFormatPr baseColWidth="10" defaultColWidth="11.42578125" defaultRowHeight="15" x14ac:dyDescent="0.25"/>
  <cols>
    <col min="2" max="2" width="22.42578125" style="61" customWidth="1"/>
    <col min="3" max="3" width="33.140625" style="61" customWidth="1"/>
    <col min="6" max="6" width="14.42578125" customWidth="1"/>
    <col min="9" max="9" width="13.5703125" style="2" customWidth="1"/>
  </cols>
  <sheetData>
    <row r="2" spans="1:12" ht="18.75" x14ac:dyDescent="0.25">
      <c r="B2" s="173" t="s">
        <v>246</v>
      </c>
    </row>
    <row r="4" spans="1:12" x14ac:dyDescent="0.25">
      <c r="B4" s="159" t="s">
        <v>391</v>
      </c>
      <c r="C4" s="159" t="s">
        <v>392</v>
      </c>
      <c r="D4" s="68" t="s">
        <v>393</v>
      </c>
      <c r="E4" s="68"/>
      <c r="F4" s="68" t="s">
        <v>394</v>
      </c>
      <c r="G4" s="68" t="s">
        <v>395</v>
      </c>
      <c r="H4" s="68" t="s">
        <v>396</v>
      </c>
      <c r="I4" s="103" t="s">
        <v>424</v>
      </c>
      <c r="J4" s="145" t="s">
        <v>439</v>
      </c>
      <c r="K4" s="145" t="s">
        <v>440</v>
      </c>
    </row>
    <row r="5" spans="1:12" ht="102" x14ac:dyDescent="0.25">
      <c r="A5">
        <v>1</v>
      </c>
      <c r="B5" s="39" t="s">
        <v>247</v>
      </c>
      <c r="C5" s="41" t="s">
        <v>248</v>
      </c>
      <c r="D5" s="50" t="s">
        <v>484</v>
      </c>
      <c r="E5" s="46">
        <v>20000</v>
      </c>
      <c r="F5" s="64">
        <f>E5*500</f>
        <v>10000000</v>
      </c>
      <c r="G5" s="46"/>
      <c r="H5" s="69">
        <f>+G5/F5</f>
        <v>0</v>
      </c>
      <c r="I5" s="103">
        <v>200000</v>
      </c>
    </row>
    <row r="6" spans="1:12" ht="165.75" x14ac:dyDescent="0.25">
      <c r="A6" s="107">
        <f>+A5+1</f>
        <v>2</v>
      </c>
      <c r="B6" s="31" t="s">
        <v>250</v>
      </c>
      <c r="C6" s="31" t="s">
        <v>251</v>
      </c>
      <c r="D6" s="39" t="s">
        <v>252</v>
      </c>
      <c r="E6" s="45">
        <v>5000</v>
      </c>
      <c r="F6" s="64">
        <f>E6*500</f>
        <v>2500000</v>
      </c>
      <c r="G6" s="45"/>
      <c r="H6" s="69">
        <f>+G6/F6</f>
        <v>0</v>
      </c>
      <c r="I6" s="103">
        <v>10000</v>
      </c>
    </row>
    <row r="7" spans="1:12" ht="127.5" x14ac:dyDescent="0.25">
      <c r="A7" s="206">
        <f>+A6+1</f>
        <v>3</v>
      </c>
      <c r="B7" s="207" t="s">
        <v>253</v>
      </c>
      <c r="C7" s="207" t="s">
        <v>254</v>
      </c>
      <c r="D7" s="199" t="s">
        <v>255</v>
      </c>
      <c r="E7" s="208">
        <v>45000</v>
      </c>
      <c r="F7" s="201">
        <f>E7*500</f>
        <v>22500000</v>
      </c>
      <c r="G7" s="208"/>
      <c r="H7" s="203">
        <f>+G7/F7</f>
        <v>0</v>
      </c>
      <c r="I7" s="209">
        <v>45000</v>
      </c>
      <c r="J7" s="206"/>
      <c r="K7" s="206"/>
    </row>
    <row r="8" spans="1:12" ht="38.25" x14ac:dyDescent="0.25">
      <c r="A8">
        <f>+A7+1</f>
        <v>4</v>
      </c>
      <c r="B8" s="31" t="s">
        <v>485</v>
      </c>
      <c r="C8" s="31"/>
      <c r="D8" s="39"/>
      <c r="E8" s="46"/>
      <c r="F8" s="64"/>
      <c r="G8" s="46"/>
      <c r="H8" s="69"/>
      <c r="I8" s="103">
        <v>30000</v>
      </c>
      <c r="J8">
        <v>15000000</v>
      </c>
      <c r="K8">
        <f>+J8/500</f>
        <v>30000</v>
      </c>
    </row>
    <row r="9" spans="1:12" ht="76.5" x14ac:dyDescent="0.25">
      <c r="B9" s="31" t="s">
        <v>269</v>
      </c>
      <c r="C9" s="31" t="s">
        <v>270</v>
      </c>
      <c r="D9" s="39"/>
      <c r="E9" s="46"/>
      <c r="F9" s="64"/>
      <c r="G9" s="46"/>
      <c r="H9" s="69"/>
      <c r="I9" s="96">
        <v>30000</v>
      </c>
    </row>
    <row r="10" spans="1:12" ht="280.5" x14ac:dyDescent="0.25">
      <c r="A10">
        <f>A8+1</f>
        <v>5</v>
      </c>
      <c r="B10" s="31" t="s">
        <v>486</v>
      </c>
      <c r="C10" s="31" t="s">
        <v>487</v>
      </c>
      <c r="D10" s="39" t="s">
        <v>488</v>
      </c>
      <c r="E10" s="46"/>
      <c r="F10" s="64"/>
      <c r="G10" s="46"/>
      <c r="H10" s="69"/>
      <c r="I10" s="187">
        <v>6400</v>
      </c>
      <c r="J10" t="s">
        <v>489</v>
      </c>
      <c r="K10">
        <f>2*700000+1*400000+2*700000</f>
        <v>3200000</v>
      </c>
      <c r="L10" s="61">
        <f>+K10/500</f>
        <v>6400</v>
      </c>
    </row>
    <row r="11" spans="1:12" ht="229.5" x14ac:dyDescent="0.25">
      <c r="A11">
        <f t="shared" ref="A11:A16" si="0">+A10+1</f>
        <v>6</v>
      </c>
      <c r="B11" s="31" t="s">
        <v>490</v>
      </c>
      <c r="C11" s="31" t="s">
        <v>491</v>
      </c>
      <c r="D11" s="39"/>
      <c r="E11" s="46"/>
      <c r="F11" s="64"/>
      <c r="G11" s="46"/>
      <c r="H11" s="69"/>
      <c r="I11" s="187">
        <v>2500</v>
      </c>
      <c r="K11" s="1"/>
    </row>
    <row r="12" spans="1:12" ht="89.25" x14ac:dyDescent="0.25">
      <c r="A12">
        <f t="shared" si="0"/>
        <v>7</v>
      </c>
      <c r="B12" s="31" t="s">
        <v>492</v>
      </c>
      <c r="C12" s="31" t="s">
        <v>493</v>
      </c>
      <c r="D12" s="39"/>
      <c r="E12" s="46"/>
      <c r="F12" s="64"/>
      <c r="G12" s="46"/>
      <c r="H12" s="69"/>
      <c r="I12" s="103">
        <v>40000</v>
      </c>
      <c r="J12">
        <f>20000000/500</f>
        <v>40000</v>
      </c>
    </row>
    <row r="13" spans="1:12" ht="101.25" customHeight="1" x14ac:dyDescent="0.25">
      <c r="A13">
        <f t="shared" si="0"/>
        <v>8</v>
      </c>
      <c r="B13" s="31" t="s">
        <v>494</v>
      </c>
      <c r="C13" s="31" t="s">
        <v>495</v>
      </c>
      <c r="D13" s="39"/>
      <c r="E13" s="46"/>
      <c r="F13" s="64"/>
      <c r="G13" s="46"/>
      <c r="H13" s="69"/>
      <c r="I13" s="103">
        <v>20000</v>
      </c>
    </row>
    <row r="14" spans="1:12" ht="89.25" x14ac:dyDescent="0.25">
      <c r="A14">
        <f t="shared" si="0"/>
        <v>9</v>
      </c>
      <c r="B14" s="31" t="s">
        <v>496</v>
      </c>
      <c r="C14" s="31" t="s">
        <v>497</v>
      </c>
      <c r="D14" s="39"/>
      <c r="E14" s="46"/>
      <c r="F14" s="64"/>
      <c r="G14" s="46"/>
      <c r="H14" s="69"/>
      <c r="I14" s="103"/>
    </row>
    <row r="15" spans="1:12" ht="153" x14ac:dyDescent="0.25">
      <c r="A15">
        <f t="shared" si="0"/>
        <v>10</v>
      </c>
      <c r="B15" s="31" t="s">
        <v>498</v>
      </c>
      <c r="C15" s="31" t="s">
        <v>499</v>
      </c>
      <c r="D15" s="39"/>
      <c r="E15" s="46"/>
      <c r="F15" s="64"/>
      <c r="G15" s="46"/>
      <c r="H15" s="69"/>
      <c r="I15" s="103">
        <v>10000</v>
      </c>
    </row>
    <row r="16" spans="1:12" ht="89.25" x14ac:dyDescent="0.25">
      <c r="A16">
        <f t="shared" si="0"/>
        <v>11</v>
      </c>
      <c r="B16" s="31" t="s">
        <v>500</v>
      </c>
      <c r="C16" s="31" t="s">
        <v>501</v>
      </c>
      <c r="D16" s="39"/>
      <c r="E16" s="46"/>
      <c r="F16" s="64"/>
      <c r="G16" s="46"/>
      <c r="H16" s="69"/>
      <c r="I16" s="103">
        <v>5000</v>
      </c>
    </row>
    <row r="17" spans="2:9" x14ac:dyDescent="0.25">
      <c r="B17" s="73" t="s">
        <v>9</v>
      </c>
      <c r="C17" s="73"/>
      <c r="D17" s="60"/>
      <c r="E17" s="60"/>
      <c r="F17" s="60"/>
      <c r="G17" s="60"/>
      <c r="H17" s="60"/>
      <c r="I17" s="99">
        <f>SUM(I5:I16)</f>
        <v>398900</v>
      </c>
    </row>
  </sheetData>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7"/>
  <sheetViews>
    <sheetView workbookViewId="0"/>
  </sheetViews>
  <sheetFormatPr baseColWidth="10" defaultColWidth="11.42578125" defaultRowHeight="15" x14ac:dyDescent="0.25"/>
  <cols>
    <col min="6" max="6" width="16.5703125" customWidth="1"/>
    <col min="9" max="9" width="19.5703125" style="2" customWidth="1"/>
    <col min="10" max="10" width="12.85546875" bestFit="1" customWidth="1"/>
  </cols>
  <sheetData>
    <row r="2" spans="1:11" x14ac:dyDescent="0.25">
      <c r="B2" t="s">
        <v>272</v>
      </c>
    </row>
    <row r="4" spans="1:11" x14ac:dyDescent="0.25">
      <c r="B4" s="60" t="s">
        <v>391</v>
      </c>
      <c r="C4" s="60" t="s">
        <v>392</v>
      </c>
      <c r="D4" s="60" t="s">
        <v>393</v>
      </c>
      <c r="E4" s="60"/>
      <c r="F4" s="60" t="s">
        <v>394</v>
      </c>
      <c r="G4" s="60" t="s">
        <v>395</v>
      </c>
      <c r="H4" s="60" t="s">
        <v>396</v>
      </c>
      <c r="I4" s="99" t="s">
        <v>424</v>
      </c>
      <c r="J4" s="170" t="s">
        <v>439</v>
      </c>
      <c r="K4" s="170" t="s">
        <v>440</v>
      </c>
    </row>
    <row r="5" spans="1:11" ht="63.75" x14ac:dyDescent="0.25">
      <c r="A5">
        <v>1</v>
      </c>
      <c r="B5" s="39" t="s">
        <v>273</v>
      </c>
      <c r="C5" s="41" t="s">
        <v>274</v>
      </c>
      <c r="D5" s="39" t="s">
        <v>275</v>
      </c>
      <c r="E5" s="45">
        <v>2000</v>
      </c>
      <c r="F5" s="64">
        <f>E5*500</f>
        <v>1000000</v>
      </c>
      <c r="G5" s="64"/>
      <c r="H5" s="65">
        <f>+G5/F5</f>
        <v>0</v>
      </c>
      <c r="I5" s="99">
        <v>1000</v>
      </c>
      <c r="J5" s="2">
        <f>+I5*500</f>
        <v>500000</v>
      </c>
    </row>
    <row r="6" spans="1:11" ht="89.25" x14ac:dyDescent="0.25">
      <c r="A6">
        <f>+A5+1</f>
        <v>2</v>
      </c>
      <c r="B6" s="39" t="s">
        <v>277</v>
      </c>
      <c r="C6" s="39" t="s">
        <v>502</v>
      </c>
      <c r="D6" s="39" t="s">
        <v>279</v>
      </c>
      <c r="E6" s="45">
        <v>3000</v>
      </c>
      <c r="F6" s="64">
        <f>E6*500</f>
        <v>1500000</v>
      </c>
      <c r="G6" s="64"/>
      <c r="H6" s="65">
        <f>+G6/F6</f>
        <v>0</v>
      </c>
      <c r="I6" s="99">
        <v>3000</v>
      </c>
    </row>
    <row r="7" spans="1:11" x14ac:dyDescent="0.25">
      <c r="B7" s="60" t="s">
        <v>9</v>
      </c>
      <c r="C7" s="60"/>
      <c r="D7" s="60"/>
      <c r="E7" s="60"/>
      <c r="F7" s="60"/>
      <c r="G7" s="60"/>
      <c r="H7" s="60"/>
      <c r="I7" s="99">
        <f>SUM(I5:I6)</f>
        <v>4000</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8"/>
  <sheetViews>
    <sheetView workbookViewId="0"/>
  </sheetViews>
  <sheetFormatPr baseColWidth="10" defaultColWidth="11.42578125" defaultRowHeight="15" x14ac:dyDescent="0.25"/>
  <cols>
    <col min="6" max="6" width="13.5703125" customWidth="1"/>
    <col min="7" max="7" width="15.42578125" customWidth="1"/>
    <col min="10" max="10" width="11.85546875" style="2" bestFit="1" customWidth="1"/>
    <col min="12" max="12" width="14.85546875" bestFit="1" customWidth="1"/>
    <col min="13" max="13" width="12.42578125" bestFit="1" customWidth="1"/>
  </cols>
  <sheetData>
    <row r="2" spans="2:13" x14ac:dyDescent="0.25">
      <c r="B2" t="s">
        <v>280</v>
      </c>
    </row>
    <row r="4" spans="2:13" x14ac:dyDescent="0.25">
      <c r="B4" s="68"/>
      <c r="C4" s="68" t="s">
        <v>391</v>
      </c>
      <c r="D4" s="68" t="s">
        <v>392</v>
      </c>
      <c r="E4" s="68" t="s">
        <v>393</v>
      </c>
      <c r="F4" s="68"/>
      <c r="G4" s="68" t="s">
        <v>394</v>
      </c>
      <c r="H4" s="68" t="s">
        <v>395</v>
      </c>
      <c r="I4" s="68" t="s">
        <v>396</v>
      </c>
      <c r="J4" s="103" t="s">
        <v>424</v>
      </c>
      <c r="K4" s="145" t="s">
        <v>439</v>
      </c>
    </row>
    <row r="5" spans="2:13" ht="127.5" x14ac:dyDescent="0.25">
      <c r="B5" s="30">
        <f>1</f>
        <v>1</v>
      </c>
      <c r="C5" s="39" t="s">
        <v>281</v>
      </c>
      <c r="D5" s="41" t="s">
        <v>282</v>
      </c>
      <c r="E5" s="31" t="s">
        <v>283</v>
      </c>
      <c r="F5" s="45">
        <v>12000</v>
      </c>
      <c r="G5" s="64">
        <f>F5*500</f>
        <v>6000000</v>
      </c>
      <c r="H5" s="64"/>
      <c r="I5" s="69">
        <f>+H5/G5</f>
        <v>0</v>
      </c>
      <c r="J5" s="103">
        <v>21566</v>
      </c>
      <c r="M5" s="2">
        <f>10782800/500</f>
        <v>21565.599999999999</v>
      </c>
    </row>
    <row r="6" spans="2:13" ht="114.75" x14ac:dyDescent="0.25">
      <c r="B6" s="30">
        <f>+B5+1</f>
        <v>2</v>
      </c>
      <c r="C6" s="39" t="s">
        <v>284</v>
      </c>
      <c r="D6" s="41" t="s">
        <v>285</v>
      </c>
      <c r="E6" s="31" t="s">
        <v>286</v>
      </c>
      <c r="F6" s="45">
        <v>16000</v>
      </c>
      <c r="G6" s="64">
        <f>F6*500</f>
        <v>8000000</v>
      </c>
      <c r="H6" s="64">
        <v>5379150</v>
      </c>
      <c r="I6" s="69">
        <f>+H6/G6</f>
        <v>0.67239375000000001</v>
      </c>
      <c r="J6" s="103">
        <v>13000</v>
      </c>
      <c r="K6">
        <f>+J6*500</f>
        <v>6500000</v>
      </c>
      <c r="M6" s="2">
        <f>6444452/500</f>
        <v>12888.904</v>
      </c>
    </row>
    <row r="7" spans="2:13" ht="153" x14ac:dyDescent="0.25">
      <c r="B7" s="30">
        <f>+B6+1</f>
        <v>3</v>
      </c>
      <c r="C7" s="39" t="s">
        <v>287</v>
      </c>
      <c r="D7" s="41" t="s">
        <v>288</v>
      </c>
      <c r="E7" s="31" t="s">
        <v>289</v>
      </c>
      <c r="F7" s="45">
        <v>4000</v>
      </c>
      <c r="G7" s="64">
        <f>F7*500</f>
        <v>2000000</v>
      </c>
      <c r="H7" s="64"/>
      <c r="I7" s="69">
        <f>+H7/G7</f>
        <v>0</v>
      </c>
      <c r="J7" s="103">
        <v>4000</v>
      </c>
      <c r="L7" s="2">
        <f>20*40000*2+200*400*6</f>
        <v>2080000</v>
      </c>
    </row>
    <row r="8" spans="2:13" x14ac:dyDescent="0.25">
      <c r="B8" s="60"/>
      <c r="C8" s="39" t="s">
        <v>9</v>
      </c>
      <c r="D8" s="60"/>
      <c r="E8" s="60"/>
      <c r="F8" s="60"/>
      <c r="G8" s="60"/>
      <c r="H8" s="60"/>
      <c r="I8" s="60"/>
      <c r="J8" s="99">
        <f>SUM(J5:J7)</f>
        <v>38566</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7"/>
  <sheetViews>
    <sheetView workbookViewId="0"/>
  </sheetViews>
  <sheetFormatPr baseColWidth="10" defaultColWidth="11.42578125" defaultRowHeight="15" x14ac:dyDescent="0.25"/>
  <cols>
    <col min="3" max="3" width="30.42578125" customWidth="1"/>
    <col min="4" max="4" width="24.42578125" customWidth="1"/>
    <col min="7" max="7" width="14.42578125" customWidth="1"/>
    <col min="10" max="10" width="17.85546875" style="2" customWidth="1"/>
  </cols>
  <sheetData>
    <row r="2" spans="2:12" x14ac:dyDescent="0.25">
      <c r="C2" t="s">
        <v>291</v>
      </c>
    </row>
    <row r="4" spans="2:12" x14ac:dyDescent="0.25">
      <c r="B4" s="68"/>
      <c r="C4" s="68" t="s">
        <v>391</v>
      </c>
      <c r="D4" s="68" t="s">
        <v>392</v>
      </c>
      <c r="E4" s="68" t="s">
        <v>393</v>
      </c>
      <c r="F4" s="68"/>
      <c r="G4" s="68" t="s">
        <v>394</v>
      </c>
      <c r="H4" s="68" t="s">
        <v>395</v>
      </c>
      <c r="I4" s="68" t="s">
        <v>396</v>
      </c>
      <c r="J4" s="96" t="s">
        <v>424</v>
      </c>
    </row>
    <row r="5" spans="2:12" ht="127.5" x14ac:dyDescent="0.25">
      <c r="B5" s="30">
        <f>1</f>
        <v>1</v>
      </c>
      <c r="C5" s="31" t="s">
        <v>292</v>
      </c>
      <c r="D5" s="31" t="s">
        <v>293</v>
      </c>
      <c r="E5" s="31" t="s">
        <v>294</v>
      </c>
      <c r="F5" s="45">
        <v>20000</v>
      </c>
      <c r="G5" s="64">
        <f>F5*500</f>
        <v>10000000</v>
      </c>
      <c r="H5" s="64">
        <v>6059440</v>
      </c>
      <c r="I5" s="69">
        <f>+H5/G5</f>
        <v>0.60594400000000004</v>
      </c>
      <c r="J5" s="96">
        <v>3000</v>
      </c>
      <c r="L5">
        <f>+H5/4/500</f>
        <v>3029.72</v>
      </c>
    </row>
    <row r="6" spans="2:12" ht="127.5" x14ac:dyDescent="0.25">
      <c r="B6" s="176">
        <f>+B5+1</f>
        <v>2</v>
      </c>
      <c r="C6" s="100" t="s">
        <v>503</v>
      </c>
      <c r="D6" s="100" t="s">
        <v>504</v>
      </c>
      <c r="E6" s="100" t="s">
        <v>505</v>
      </c>
      <c r="F6" s="101">
        <v>30000</v>
      </c>
      <c r="G6" s="175">
        <f>F6*500</f>
        <v>15000000</v>
      </c>
      <c r="H6" s="175"/>
      <c r="I6" s="177">
        <f>+H6/G6</f>
        <v>0</v>
      </c>
      <c r="J6" s="178"/>
      <c r="K6" s="174"/>
      <c r="L6" s="174"/>
    </row>
    <row r="7" spans="2:12" x14ac:dyDescent="0.25">
      <c r="B7" s="60"/>
      <c r="C7" s="60" t="s">
        <v>9</v>
      </c>
      <c r="D7" s="60"/>
      <c r="E7" s="60"/>
      <c r="F7" s="60"/>
      <c r="G7" s="60"/>
      <c r="H7" s="60"/>
      <c r="I7" s="60"/>
      <c r="J7" s="99">
        <f>SUM(J5:J6)</f>
        <v>3000</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E7"/>
  <sheetViews>
    <sheetView workbookViewId="0"/>
  </sheetViews>
  <sheetFormatPr baseColWidth="10" defaultColWidth="11.42578125" defaultRowHeight="15" x14ac:dyDescent="0.25"/>
  <cols>
    <col min="2" max="2" width="33.42578125" customWidth="1"/>
    <col min="3" max="3" width="19.42578125" customWidth="1"/>
  </cols>
  <sheetData>
    <row r="2" spans="1:31" x14ac:dyDescent="0.25">
      <c r="B2" t="s">
        <v>506</v>
      </c>
    </row>
    <row r="4" spans="1:31" s="110" customFormat="1" ht="18.75" x14ac:dyDescent="0.3">
      <c r="B4" s="89"/>
      <c r="C4" s="79" t="s">
        <v>379</v>
      </c>
      <c r="D4" s="79" t="s">
        <v>380</v>
      </c>
      <c r="E4" s="79" t="s">
        <v>381</v>
      </c>
    </row>
    <row r="5" spans="1:31" s="110" customFormat="1" ht="56.25" x14ac:dyDescent="0.3">
      <c r="A5" s="110">
        <v>1</v>
      </c>
      <c r="B5" s="88" t="s">
        <v>507</v>
      </c>
      <c r="C5" s="113">
        <f>+'C5A'!I9</f>
        <v>43801</v>
      </c>
      <c r="D5" s="88"/>
      <c r="E5" s="88"/>
      <c r="F5" s="111"/>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row>
    <row r="6" spans="1:31" s="110" customFormat="1" ht="18.75" x14ac:dyDescent="0.3">
      <c r="A6" s="110">
        <v>2</v>
      </c>
      <c r="B6" s="88" t="s">
        <v>508</v>
      </c>
      <c r="C6" s="113">
        <f>+'C5B'!J12</f>
        <v>145208.51799999998</v>
      </c>
      <c r="D6" s="88"/>
      <c r="E6" s="88"/>
      <c r="F6" s="111"/>
      <c r="G6" s="112"/>
      <c r="H6" s="112"/>
      <c r="I6" s="112"/>
      <c r="J6" s="112"/>
      <c r="K6" s="112"/>
      <c r="L6" s="112"/>
      <c r="M6" s="112"/>
      <c r="N6" s="112"/>
      <c r="O6" s="112"/>
      <c r="P6" s="112"/>
      <c r="Q6" s="112"/>
      <c r="R6" s="112"/>
      <c r="S6" s="112"/>
      <c r="T6" s="112"/>
      <c r="U6" s="112"/>
      <c r="V6" s="112"/>
      <c r="W6" s="112"/>
      <c r="X6" s="112"/>
      <c r="Y6" s="112"/>
      <c r="Z6" s="112"/>
      <c r="AA6" s="112"/>
      <c r="AB6" s="112"/>
      <c r="AC6" s="112"/>
      <c r="AD6" s="112"/>
      <c r="AE6" s="112"/>
    </row>
    <row r="7" spans="1:31" s="110" customFormat="1" ht="18.75" x14ac:dyDescent="0.3">
      <c r="B7" s="89" t="s">
        <v>9</v>
      </c>
      <c r="C7" s="114">
        <f>SUM(C5:C6)</f>
        <v>189009.51799999998</v>
      </c>
      <c r="D7" s="89"/>
      <c r="E7" s="89"/>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9"/>
  <sheetViews>
    <sheetView workbookViewId="0"/>
  </sheetViews>
  <sheetFormatPr baseColWidth="10" defaultColWidth="11.42578125" defaultRowHeight="15" x14ac:dyDescent="0.25"/>
  <cols>
    <col min="1" max="5" width="11.42578125" style="107"/>
    <col min="6" max="6" width="17.85546875" style="107" customWidth="1"/>
    <col min="7" max="7" width="19.5703125" style="107" customWidth="1"/>
    <col min="8" max="8" width="11.42578125" style="107"/>
    <col min="9" max="9" width="18.85546875" style="108" customWidth="1"/>
    <col min="10" max="16384" width="11.42578125" style="107"/>
  </cols>
  <sheetData>
    <row r="2" spans="1:11" x14ac:dyDescent="0.25">
      <c r="B2" s="67" t="s">
        <v>297</v>
      </c>
    </row>
    <row r="4" spans="1:11" x14ac:dyDescent="0.25">
      <c r="B4" s="68" t="s">
        <v>391</v>
      </c>
      <c r="C4" s="68" t="s">
        <v>392</v>
      </c>
      <c r="D4" s="68" t="s">
        <v>393</v>
      </c>
      <c r="E4" s="68"/>
      <c r="F4" s="68" t="s">
        <v>394</v>
      </c>
      <c r="G4" s="68" t="s">
        <v>395</v>
      </c>
      <c r="H4" s="68" t="s">
        <v>396</v>
      </c>
      <c r="I4" s="103" t="s">
        <v>424</v>
      </c>
    </row>
    <row r="5" spans="1:11" ht="140.25" x14ac:dyDescent="0.25">
      <c r="A5" s="107">
        <v>1</v>
      </c>
      <c r="B5" s="39" t="s">
        <v>298</v>
      </c>
      <c r="C5" s="39" t="s">
        <v>299</v>
      </c>
      <c r="D5" s="31" t="s">
        <v>509</v>
      </c>
      <c r="E5" s="109">
        <v>110000</v>
      </c>
      <c r="F5" s="64">
        <f>E5*500</f>
        <v>55000000</v>
      </c>
      <c r="G5" s="64">
        <v>54712913</v>
      </c>
      <c r="H5" s="69">
        <f>+G5/F5</f>
        <v>0.99478023636363633</v>
      </c>
      <c r="I5" s="103">
        <v>2595</v>
      </c>
      <c r="K5" s="108">
        <f>1297419/500</f>
        <v>2594.8380000000002</v>
      </c>
    </row>
    <row r="6" spans="1:11" ht="191.25" x14ac:dyDescent="0.25">
      <c r="A6" s="107">
        <v>2</v>
      </c>
      <c r="B6" s="39" t="s">
        <v>301</v>
      </c>
      <c r="C6" s="39" t="s">
        <v>302</v>
      </c>
      <c r="D6" s="31" t="s">
        <v>510</v>
      </c>
      <c r="E6" s="109">
        <v>145270</v>
      </c>
      <c r="F6" s="64">
        <f>E6*500</f>
        <v>72635000</v>
      </c>
      <c r="G6" s="64">
        <v>58691979</v>
      </c>
      <c r="H6" s="69">
        <f>+G6/F6</f>
        <v>0.80803991188820812</v>
      </c>
      <c r="I6" s="103">
        <v>13206</v>
      </c>
      <c r="K6" s="107">
        <f>6603204/500</f>
        <v>13206.407999999999</v>
      </c>
    </row>
    <row r="7" spans="1:11" ht="76.5" x14ac:dyDescent="0.25">
      <c r="B7" s="39" t="s">
        <v>304</v>
      </c>
      <c r="C7" s="39" t="s">
        <v>511</v>
      </c>
      <c r="D7" s="31"/>
      <c r="E7" s="109"/>
      <c r="F7" s="64"/>
      <c r="G7" s="64"/>
      <c r="H7" s="69"/>
      <c r="I7" s="103">
        <v>8000</v>
      </c>
      <c r="K7" s="107">
        <f>2000000/500</f>
        <v>4000</v>
      </c>
    </row>
    <row r="8" spans="1:11" ht="51" x14ac:dyDescent="0.25">
      <c r="B8" s="39" t="s">
        <v>307</v>
      </c>
      <c r="C8" s="39"/>
      <c r="D8" s="31"/>
      <c r="E8" s="109"/>
      <c r="F8" s="64"/>
      <c r="G8" s="64"/>
      <c r="H8" s="69"/>
      <c r="I8" s="103">
        <v>20000</v>
      </c>
      <c r="K8" s="107">
        <f>10000000/500</f>
        <v>20000</v>
      </c>
    </row>
    <row r="9" spans="1:11" x14ac:dyDescent="0.25">
      <c r="B9" s="68" t="s">
        <v>9</v>
      </c>
      <c r="C9" s="68"/>
      <c r="D9" s="68"/>
      <c r="E9" s="68"/>
      <c r="F9" s="68"/>
      <c r="G9" s="68"/>
      <c r="H9" s="68"/>
      <c r="I9" s="103">
        <f>SUM(I5:I8)</f>
        <v>43801</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N12"/>
  <sheetViews>
    <sheetView workbookViewId="0"/>
  </sheetViews>
  <sheetFormatPr baseColWidth="10" defaultColWidth="11.42578125" defaultRowHeight="15" x14ac:dyDescent="0.25"/>
  <cols>
    <col min="7" max="7" width="15.85546875" customWidth="1"/>
    <col min="8" max="8" width="17.85546875" customWidth="1"/>
    <col min="10" max="10" width="16.42578125" style="2" customWidth="1"/>
  </cols>
  <sheetData>
    <row r="2" spans="2:14" x14ac:dyDescent="0.25">
      <c r="C2" s="59" t="s">
        <v>310</v>
      </c>
    </row>
    <row r="4" spans="2:14" x14ac:dyDescent="0.25">
      <c r="B4" s="60"/>
      <c r="C4" s="60" t="s">
        <v>391</v>
      </c>
      <c r="D4" s="60" t="s">
        <v>392</v>
      </c>
      <c r="E4" s="60" t="s">
        <v>393</v>
      </c>
      <c r="F4" s="60"/>
      <c r="G4" s="60" t="s">
        <v>394</v>
      </c>
      <c r="H4" s="60" t="s">
        <v>395</v>
      </c>
      <c r="I4" s="60" t="s">
        <v>396</v>
      </c>
      <c r="J4" s="106" t="s">
        <v>424</v>
      </c>
    </row>
    <row r="5" spans="2:14" ht="51" x14ac:dyDescent="0.25">
      <c r="B5" s="198">
        <v>1</v>
      </c>
      <c r="C5" s="199" t="s">
        <v>512</v>
      </c>
      <c r="D5" s="199" t="s">
        <v>513</v>
      </c>
      <c r="E5" s="199" t="s">
        <v>514</v>
      </c>
      <c r="F5" s="200">
        <v>7200</v>
      </c>
      <c r="G5" s="201">
        <f t="shared" ref="G5:G10" si="0">F5*500</f>
        <v>3600000</v>
      </c>
      <c r="H5" s="202">
        <v>2522035</v>
      </c>
      <c r="I5" s="203">
        <f t="shared" ref="I5:I10" si="1">+H5/G5</f>
        <v>0.70056527777777777</v>
      </c>
      <c r="J5" s="204"/>
    </row>
    <row r="6" spans="2:14" ht="127.5" x14ac:dyDescent="0.25">
      <c r="B6" s="198">
        <f>+B5+1</f>
        <v>2</v>
      </c>
      <c r="C6" s="199" t="s">
        <v>515</v>
      </c>
      <c r="D6" s="199" t="s">
        <v>516</v>
      </c>
      <c r="E6" s="199" t="s">
        <v>517</v>
      </c>
      <c r="F6" s="200">
        <v>35000</v>
      </c>
      <c r="G6" s="201">
        <f t="shared" si="0"/>
        <v>17500000</v>
      </c>
      <c r="H6" s="202">
        <v>21102668</v>
      </c>
      <c r="I6" s="203">
        <f t="shared" si="1"/>
        <v>1.2058667428571428</v>
      </c>
      <c r="J6" s="204"/>
      <c r="L6">
        <v>1706427</v>
      </c>
      <c r="M6" s="2">
        <f>+L6/500</f>
        <v>3412.8539999999998</v>
      </c>
    </row>
    <row r="7" spans="2:14" ht="51" x14ac:dyDescent="0.25">
      <c r="B7" s="30">
        <f>+B6+1</f>
        <v>3</v>
      </c>
      <c r="C7" s="39" t="s">
        <v>311</v>
      </c>
      <c r="D7" s="39" t="s">
        <v>312</v>
      </c>
      <c r="E7" s="34" t="s">
        <v>518</v>
      </c>
      <c r="F7" s="37">
        <v>20000</v>
      </c>
      <c r="G7" s="64">
        <f t="shared" si="0"/>
        <v>10000000</v>
      </c>
      <c r="H7" s="66">
        <v>10807143</v>
      </c>
      <c r="I7" s="69">
        <f t="shared" si="1"/>
        <v>1.0807142999999999</v>
      </c>
      <c r="J7" s="96">
        <v>3582</v>
      </c>
      <c r="L7">
        <v>1791025</v>
      </c>
      <c r="M7" s="2">
        <f>+L7/500</f>
        <v>3582.05</v>
      </c>
    </row>
    <row r="8" spans="2:14" ht="63.75" x14ac:dyDescent="0.25">
      <c r="B8" s="30">
        <f>+B7+1</f>
        <v>4</v>
      </c>
      <c r="C8" s="39" t="s">
        <v>314</v>
      </c>
      <c r="D8" s="39" t="s">
        <v>315</v>
      </c>
      <c r="E8" s="34" t="s">
        <v>316</v>
      </c>
      <c r="F8" s="37">
        <v>7200</v>
      </c>
      <c r="G8" s="64">
        <f t="shared" si="0"/>
        <v>3600000</v>
      </c>
      <c r="H8" s="66"/>
      <c r="I8" s="69">
        <f t="shared" si="1"/>
        <v>0</v>
      </c>
      <c r="J8" s="96">
        <v>6372</v>
      </c>
      <c r="L8">
        <v>3186000</v>
      </c>
      <c r="M8" s="2">
        <f>+L8/500</f>
        <v>6372</v>
      </c>
      <c r="N8">
        <f>21500000/500</f>
        <v>43000</v>
      </c>
    </row>
    <row r="9" spans="2:14" ht="281.25" x14ac:dyDescent="0.25">
      <c r="B9" s="30">
        <f>+B8+1</f>
        <v>5</v>
      </c>
      <c r="C9" s="39" t="s">
        <v>317</v>
      </c>
      <c r="D9" s="71" t="s">
        <v>318</v>
      </c>
      <c r="E9" s="72" t="s">
        <v>319</v>
      </c>
      <c r="F9" s="33">
        <v>98000</v>
      </c>
      <c r="G9" s="64">
        <f t="shared" si="0"/>
        <v>49000000</v>
      </c>
      <c r="H9" s="66">
        <v>14433793</v>
      </c>
      <c r="I9" s="69">
        <f t="shared" si="1"/>
        <v>0.29456720408163267</v>
      </c>
      <c r="J9" s="205">
        <f>43000</f>
        <v>43000</v>
      </c>
      <c r="L9" s="61">
        <v>33678850</v>
      </c>
      <c r="M9" s="180">
        <f>+L9/500</f>
        <v>67357.7</v>
      </c>
      <c r="N9" s="61"/>
    </row>
    <row r="10" spans="2:14" ht="229.5" x14ac:dyDescent="0.25">
      <c r="B10" s="30">
        <f>+B9+1</f>
        <v>6</v>
      </c>
      <c r="C10" s="39" t="s">
        <v>320</v>
      </c>
      <c r="D10" s="39" t="s">
        <v>519</v>
      </c>
      <c r="E10" s="39" t="s">
        <v>322</v>
      </c>
      <c r="F10" s="45">
        <v>30000</v>
      </c>
      <c r="G10" s="64">
        <f t="shared" si="0"/>
        <v>15000000</v>
      </c>
      <c r="H10" s="66"/>
      <c r="I10" s="69">
        <f t="shared" si="1"/>
        <v>0</v>
      </c>
      <c r="J10" s="96">
        <v>30000</v>
      </c>
    </row>
    <row r="11" spans="2:14" x14ac:dyDescent="0.25">
      <c r="B11" s="30"/>
      <c r="C11" s="39" t="s">
        <v>520</v>
      </c>
      <c r="D11" s="39"/>
      <c r="E11" s="39"/>
      <c r="F11" s="45"/>
      <c r="G11" s="64"/>
      <c r="H11" s="66"/>
      <c r="I11" s="69"/>
      <c r="J11" s="96">
        <f>31127259/500</f>
        <v>62254.517999999996</v>
      </c>
    </row>
    <row r="12" spans="2:14" x14ac:dyDescent="0.25">
      <c r="B12" s="68"/>
      <c r="C12" s="39" t="s">
        <v>9</v>
      </c>
      <c r="D12" s="68"/>
      <c r="E12" s="68"/>
      <c r="F12" s="68"/>
      <c r="G12" s="68"/>
      <c r="H12" s="68"/>
      <c r="I12" s="68"/>
      <c r="J12" s="103">
        <f>SUM(J5:J11)</f>
        <v>145208.51799999998</v>
      </c>
    </row>
  </sheetData>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0"/>
  <sheetViews>
    <sheetView workbookViewId="0"/>
  </sheetViews>
  <sheetFormatPr baseColWidth="10" defaultColWidth="11.42578125" defaultRowHeight="15" x14ac:dyDescent="0.25"/>
  <cols>
    <col min="1" max="1" width="6.5703125" customWidth="1"/>
    <col min="2" max="2" width="38.42578125" style="1" customWidth="1"/>
    <col min="3" max="3" width="16.140625" customWidth="1"/>
    <col min="4" max="4" width="18.140625" customWidth="1"/>
    <col min="5" max="5" width="22.42578125" customWidth="1"/>
    <col min="6" max="6" width="10.42578125" bestFit="1" customWidth="1"/>
    <col min="8" max="8" width="18.140625" customWidth="1"/>
  </cols>
  <sheetData>
    <row r="2" spans="1:9" ht="18" x14ac:dyDescent="0.25">
      <c r="C2" s="5" t="s">
        <v>326</v>
      </c>
      <c r="D2" s="5" t="s">
        <v>327</v>
      </c>
      <c r="E2" s="5"/>
    </row>
    <row r="3" spans="1:9" ht="18" x14ac:dyDescent="0.25">
      <c r="A3" s="4"/>
      <c r="B3" s="5" t="s">
        <v>328</v>
      </c>
      <c r="C3" s="4"/>
      <c r="D3" s="4">
        <v>500</v>
      </c>
      <c r="E3" s="4"/>
    </row>
    <row r="4" spans="1:9" ht="18" x14ac:dyDescent="0.25">
      <c r="A4" s="78">
        <v>1</v>
      </c>
      <c r="B4" s="79" t="s">
        <v>329</v>
      </c>
      <c r="C4" s="80">
        <f>+'C1'!D10</f>
        <v>351632</v>
      </c>
      <c r="D4" s="80">
        <f t="shared" ref="D4:D9" si="0">+C4*$D$3</f>
        <v>175816000</v>
      </c>
      <c r="E4" s="80"/>
      <c r="F4" s="81">
        <f t="shared" ref="F4:F9" si="1">+D4/$D$9</f>
        <v>0.21127254965345027</v>
      </c>
      <c r="H4" s="2"/>
    </row>
    <row r="5" spans="1:9" ht="36" x14ac:dyDescent="0.25">
      <c r="A5" s="78">
        <f>+A4+1</f>
        <v>2</v>
      </c>
      <c r="B5" s="79" t="s">
        <v>330</v>
      </c>
      <c r="C5" s="80">
        <f>+'C2'!C7</f>
        <v>202640</v>
      </c>
      <c r="D5" s="80">
        <f t="shared" si="0"/>
        <v>101320000</v>
      </c>
      <c r="E5" s="80"/>
      <c r="F5" s="81">
        <f t="shared" si="1"/>
        <v>0.12175305279887827</v>
      </c>
      <c r="H5" s="2"/>
    </row>
    <row r="6" spans="1:9" ht="18" x14ac:dyDescent="0.25">
      <c r="A6" s="78">
        <f>+A5+1</f>
        <v>3</v>
      </c>
      <c r="B6" s="79" t="s">
        <v>331</v>
      </c>
      <c r="C6" s="80">
        <f>+'C3'!C10</f>
        <v>476605</v>
      </c>
      <c r="D6" s="80">
        <f t="shared" si="0"/>
        <v>238302500</v>
      </c>
      <c r="E6" s="80"/>
      <c r="F6" s="81">
        <f t="shared" si="1"/>
        <v>0.28636060861236368</v>
      </c>
      <c r="H6" s="2"/>
    </row>
    <row r="7" spans="1:9" ht="18" x14ac:dyDescent="0.25">
      <c r="A7" s="78">
        <f>+A6+1</f>
        <v>4</v>
      </c>
      <c r="B7" s="79" t="s">
        <v>332</v>
      </c>
      <c r="C7" s="80">
        <f>+'C4'!C9</f>
        <v>444466</v>
      </c>
      <c r="D7" s="80">
        <f t="shared" si="0"/>
        <v>222233000</v>
      </c>
      <c r="E7" s="80"/>
      <c r="F7" s="81">
        <f t="shared" si="1"/>
        <v>0.26705039659152302</v>
      </c>
      <c r="H7" s="2"/>
    </row>
    <row r="8" spans="1:9" ht="36" x14ac:dyDescent="0.25">
      <c r="A8" s="78">
        <f>+A7+1</f>
        <v>5</v>
      </c>
      <c r="B8" s="79" t="s">
        <v>333</v>
      </c>
      <c r="C8" s="80">
        <f>+'C5'!C7</f>
        <v>189009.51799999998</v>
      </c>
      <c r="D8" s="80">
        <f t="shared" si="0"/>
        <v>94504758.999999985</v>
      </c>
      <c r="E8" s="80"/>
      <c r="F8" s="81">
        <f t="shared" si="1"/>
        <v>0.11356339234378469</v>
      </c>
      <c r="H8" s="2"/>
      <c r="I8" s="3"/>
    </row>
    <row r="9" spans="1:9" ht="18" x14ac:dyDescent="0.25">
      <c r="A9" s="78"/>
      <c r="B9" s="82" t="s">
        <v>334</v>
      </c>
      <c r="C9" s="83">
        <f>SUM(C4:C8)</f>
        <v>1664352.5179999999</v>
      </c>
      <c r="D9" s="84">
        <f t="shared" si="0"/>
        <v>832176259</v>
      </c>
      <c r="E9" s="84"/>
      <c r="F9" s="85">
        <f t="shared" si="1"/>
        <v>1</v>
      </c>
    </row>
    <row r="10" spans="1:9" x14ac:dyDescent="0.25">
      <c r="H10" s="3"/>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L59"/>
  <sheetViews>
    <sheetView workbookViewId="0"/>
  </sheetViews>
  <sheetFormatPr baseColWidth="10" defaultColWidth="11.42578125" defaultRowHeight="15" x14ac:dyDescent="0.25"/>
  <cols>
    <col min="1" max="1" width="13.85546875" customWidth="1"/>
    <col min="2" max="2" width="25.5703125" style="10" customWidth="1"/>
    <col min="3" max="3" width="13.42578125" style="2" customWidth="1"/>
    <col min="4" max="5" width="14.42578125" bestFit="1" customWidth="1"/>
    <col min="6" max="6" width="13" customWidth="1"/>
    <col min="7" max="7" width="13.42578125" customWidth="1"/>
    <col min="8" max="8" width="13.42578125" style="2" customWidth="1"/>
    <col min="9" max="9" width="15.42578125" bestFit="1" customWidth="1"/>
    <col min="10" max="10" width="14.42578125" style="2" bestFit="1" customWidth="1"/>
    <col min="11" max="11" width="11.5703125" bestFit="1" customWidth="1"/>
    <col min="12" max="12" width="11.85546875" bestFit="1" customWidth="1"/>
  </cols>
  <sheetData>
    <row r="5" spans="1:10" x14ac:dyDescent="0.25">
      <c r="B5" s="262" t="s">
        <v>335</v>
      </c>
      <c r="C5" s="262"/>
      <c r="D5" s="262" t="s">
        <v>336</v>
      </c>
      <c r="E5" s="262"/>
      <c r="F5" s="263" t="s">
        <v>337</v>
      </c>
      <c r="G5" s="262" t="s">
        <v>338</v>
      </c>
      <c r="H5" s="262"/>
    </row>
    <row r="6" spans="1:10" x14ac:dyDescent="0.25">
      <c r="B6" s="10" t="s">
        <v>339</v>
      </c>
      <c r="C6" s="2" t="s">
        <v>340</v>
      </c>
      <c r="D6" t="s">
        <v>339</v>
      </c>
      <c r="E6" t="s">
        <v>340</v>
      </c>
      <c r="F6" s="263"/>
      <c r="G6" t="s">
        <v>339</v>
      </c>
      <c r="H6" s="2" t="s">
        <v>340</v>
      </c>
    </row>
    <row r="7" spans="1:10" x14ac:dyDescent="0.25">
      <c r="D7" s="6">
        <v>177000</v>
      </c>
      <c r="E7" s="6">
        <v>751000</v>
      </c>
      <c r="F7" s="6">
        <v>45000</v>
      </c>
      <c r="G7" s="6">
        <v>12500</v>
      </c>
      <c r="H7" s="6">
        <v>17500</v>
      </c>
    </row>
    <row r="8" spans="1:10" x14ac:dyDescent="0.25">
      <c r="A8">
        <v>2020</v>
      </c>
      <c r="B8" s="11">
        <v>18</v>
      </c>
      <c r="C8" s="14">
        <v>5</v>
      </c>
      <c r="D8" s="2">
        <f>+B8*$D$7</f>
        <v>3186000</v>
      </c>
      <c r="E8" s="2">
        <f>+C8*$E$7</f>
        <v>3755000</v>
      </c>
      <c r="F8" s="3">
        <f>+B8*$F$7+C8*$F$7</f>
        <v>1035000</v>
      </c>
      <c r="G8" s="3">
        <f>+B8*$G$7*12</f>
        <v>2700000</v>
      </c>
      <c r="H8" s="2">
        <f>+C8*$H$7*12</f>
        <v>1050000</v>
      </c>
    </row>
    <row r="9" spans="1:10" x14ac:dyDescent="0.25">
      <c r="A9" t="s">
        <v>341</v>
      </c>
      <c r="B9" s="11">
        <v>26</v>
      </c>
      <c r="C9" s="14"/>
      <c r="D9" s="2">
        <f>+B9*$D$7</f>
        <v>4602000</v>
      </c>
      <c r="E9" s="2"/>
      <c r="F9" s="3"/>
      <c r="G9" s="3"/>
    </row>
    <row r="10" spans="1:10" x14ac:dyDescent="0.25">
      <c r="A10">
        <v>2021</v>
      </c>
      <c r="B10" s="11">
        <v>17</v>
      </c>
      <c r="C10" s="14">
        <v>4</v>
      </c>
      <c r="D10" s="2">
        <f>+B10*$D$7</f>
        <v>3009000</v>
      </c>
      <c r="E10" s="2">
        <f>+C10*$E$7</f>
        <v>3004000</v>
      </c>
      <c r="F10" s="3">
        <f>+B10*$F$7+C10*$F$7</f>
        <v>945000</v>
      </c>
      <c r="G10" s="3">
        <f>+B10*$G$7*12</f>
        <v>2550000</v>
      </c>
      <c r="H10" s="2">
        <f>+C10*$H$7*12</f>
        <v>840000</v>
      </c>
    </row>
    <row r="11" spans="1:10" x14ac:dyDescent="0.25">
      <c r="B11" s="12">
        <f>SUM(B8:B10)</f>
        <v>61</v>
      </c>
      <c r="C11" s="15">
        <f>SUM(C8:C10)</f>
        <v>9</v>
      </c>
      <c r="D11" s="2">
        <f>+B11*$D$7</f>
        <v>10797000</v>
      </c>
      <c r="E11" s="2">
        <f>+C11*$E$7</f>
        <v>6759000</v>
      </c>
      <c r="F11" s="3">
        <f>+B11*$F$7+C11*$F$7</f>
        <v>3150000</v>
      </c>
      <c r="G11" s="3">
        <f>+B11*$G$7*12</f>
        <v>9150000</v>
      </c>
      <c r="H11" s="2">
        <f>+C11*$H$7*12</f>
        <v>1890000</v>
      </c>
    </row>
    <row r="12" spans="1:10" x14ac:dyDescent="0.25">
      <c r="B12" s="12"/>
      <c r="C12" s="15"/>
      <c r="D12" s="2"/>
      <c r="E12" s="2"/>
      <c r="F12" s="3"/>
      <c r="G12" s="3"/>
    </row>
    <row r="13" spans="1:10" x14ac:dyDescent="0.25">
      <c r="A13" t="s">
        <v>9</v>
      </c>
      <c r="B13" s="11"/>
      <c r="C13" s="16">
        <f>+B11+C11</f>
        <v>70</v>
      </c>
      <c r="D13" s="2"/>
      <c r="E13" s="2">
        <f>+D11+E11</f>
        <v>17556000</v>
      </c>
      <c r="F13" s="3">
        <f>+B13*$F$7+C13*$F$7</f>
        <v>3150000</v>
      </c>
      <c r="H13" s="2">
        <f>+G11+H11</f>
        <v>11040000</v>
      </c>
      <c r="I13" s="7">
        <f>SUM(E13:H13)</f>
        <v>31746000</v>
      </c>
      <c r="J13" s="7">
        <f>+I13/500</f>
        <v>63492</v>
      </c>
    </row>
    <row r="14" spans="1:10" x14ac:dyDescent="0.25">
      <c r="B14" s="262" t="s">
        <v>342</v>
      </c>
      <c r="C14" s="262"/>
      <c r="D14" s="262" t="s">
        <v>336</v>
      </c>
      <c r="E14" s="262"/>
      <c r="F14" s="263" t="s">
        <v>337</v>
      </c>
      <c r="G14" s="262" t="s">
        <v>338</v>
      </c>
      <c r="H14" s="262"/>
      <c r="I14" s="2"/>
    </row>
    <row r="15" spans="1:10" x14ac:dyDescent="0.25">
      <c r="B15" s="10" t="s">
        <v>339</v>
      </c>
      <c r="C15" s="2" t="s">
        <v>340</v>
      </c>
      <c r="D15" t="s">
        <v>339</v>
      </c>
      <c r="E15" t="s">
        <v>340</v>
      </c>
      <c r="F15" s="263"/>
      <c r="G15" t="s">
        <v>339</v>
      </c>
      <c r="H15" s="2" t="s">
        <v>340</v>
      </c>
      <c r="I15" s="2"/>
    </row>
    <row r="16" spans="1:10" x14ac:dyDescent="0.25">
      <c r="D16" s="6">
        <v>302000</v>
      </c>
      <c r="E16" s="6">
        <v>951000</v>
      </c>
      <c r="F16" s="6">
        <v>80000</v>
      </c>
      <c r="G16" s="6">
        <v>12500</v>
      </c>
      <c r="H16" s="6">
        <v>17500</v>
      </c>
      <c r="I16" s="2"/>
    </row>
    <row r="17" spans="1:10" x14ac:dyDescent="0.25">
      <c r="A17">
        <v>2020</v>
      </c>
      <c r="B17" s="11">
        <v>16</v>
      </c>
      <c r="C17" s="14">
        <v>5</v>
      </c>
      <c r="D17" s="2">
        <f>+B17*$D$16</f>
        <v>4832000</v>
      </c>
      <c r="E17" s="2">
        <f>+C17*$E$16</f>
        <v>4755000</v>
      </c>
      <c r="F17" s="3">
        <f>+B17*$F$16+C17*$F$16</f>
        <v>1680000</v>
      </c>
      <c r="G17" s="3">
        <f>+B17*$G$16*12</f>
        <v>2400000</v>
      </c>
      <c r="H17" s="2">
        <f>+C17*$H$16*12</f>
        <v>1050000</v>
      </c>
      <c r="I17" s="2"/>
    </row>
    <row r="18" spans="1:10" x14ac:dyDescent="0.25">
      <c r="A18">
        <v>2021</v>
      </c>
      <c r="B18" s="11">
        <v>4</v>
      </c>
      <c r="C18" s="14">
        <v>3</v>
      </c>
      <c r="D18" s="2">
        <f>+B18*$D$16</f>
        <v>1208000</v>
      </c>
      <c r="E18" s="2">
        <f>+C18*$E$16</f>
        <v>2853000</v>
      </c>
      <c r="F18" s="3">
        <f>+B18*$F$16+C18*$F$16</f>
        <v>560000</v>
      </c>
      <c r="G18" s="3">
        <f>+B18*$G$16*12</f>
        <v>600000</v>
      </c>
      <c r="H18" s="2">
        <f>+C18*$H$16*12</f>
        <v>630000</v>
      </c>
      <c r="I18" s="2"/>
    </row>
    <row r="19" spans="1:10" x14ac:dyDescent="0.25">
      <c r="B19" s="11">
        <f>SUM(B17:B18)</f>
        <v>20</v>
      </c>
      <c r="C19" s="14">
        <f>SUM(C17:C18)</f>
        <v>8</v>
      </c>
      <c r="D19" s="2">
        <f>+B19*$D$16</f>
        <v>6040000</v>
      </c>
      <c r="E19" s="2">
        <f>+C19*$E$16</f>
        <v>7608000</v>
      </c>
      <c r="F19" s="3">
        <f>+B19*$F$16+C19*$F$16</f>
        <v>2240000</v>
      </c>
      <c r="G19" s="3">
        <f>+B19*$G$16*12</f>
        <v>3000000</v>
      </c>
      <c r="H19" s="2">
        <f>+C19*$H$16*12</f>
        <v>1680000</v>
      </c>
      <c r="I19" s="2"/>
    </row>
    <row r="20" spans="1:10" x14ac:dyDescent="0.25">
      <c r="A20" t="s">
        <v>9</v>
      </c>
      <c r="C20" s="2">
        <f>+B19+C19</f>
        <v>28</v>
      </c>
      <c r="E20" s="3">
        <f>+D19+E19</f>
        <v>13648000</v>
      </c>
      <c r="F20" s="3">
        <f>+B20*$F$16+C20*$F$16</f>
        <v>2240000</v>
      </c>
      <c r="G20" s="3"/>
      <c r="H20" s="2">
        <f>+G19+H19</f>
        <v>4680000</v>
      </c>
      <c r="I20" s="7">
        <f>SUM(D20:H20)</f>
        <v>20568000</v>
      </c>
      <c r="J20" s="7">
        <f>+I20/500</f>
        <v>41136</v>
      </c>
    </row>
    <row r="21" spans="1:10" x14ac:dyDescent="0.25">
      <c r="I21" s="7">
        <f>SUM(I13:I20)</f>
        <v>52314000</v>
      </c>
      <c r="J21" s="7"/>
    </row>
    <row r="22" spans="1:10" x14ac:dyDescent="0.25">
      <c r="I22" s="2">
        <f>+I21/500</f>
        <v>104628</v>
      </c>
    </row>
    <row r="24" spans="1:10" ht="16.5" x14ac:dyDescent="0.3">
      <c r="A24" s="8" t="s">
        <v>343</v>
      </c>
      <c r="C24" s="9">
        <f>SUM(C25:C28)</f>
        <v>38870724</v>
      </c>
      <c r="D24" s="2">
        <f>+C24/500</f>
        <v>77741.448000000004</v>
      </c>
    </row>
    <row r="25" spans="1:10" ht="16.5" x14ac:dyDescent="0.3">
      <c r="B25" s="13" t="s">
        <v>344</v>
      </c>
      <c r="C25" s="9">
        <v>20423750</v>
      </c>
    </row>
    <row r="26" spans="1:10" ht="16.5" x14ac:dyDescent="0.3">
      <c r="B26" s="13" t="s">
        <v>345</v>
      </c>
      <c r="C26" s="9">
        <v>11189574</v>
      </c>
    </row>
    <row r="27" spans="1:10" ht="16.5" x14ac:dyDescent="0.3">
      <c r="B27" s="13" t="s">
        <v>346</v>
      </c>
      <c r="C27" s="9">
        <v>3007400</v>
      </c>
    </row>
    <row r="28" spans="1:10" ht="16.5" x14ac:dyDescent="0.3">
      <c r="B28" s="13" t="s">
        <v>347</v>
      </c>
      <c r="C28" s="9">
        <v>4250000</v>
      </c>
    </row>
    <row r="29" spans="1:10" ht="16.5" x14ac:dyDescent="0.3">
      <c r="B29" s="13"/>
      <c r="C29" s="9"/>
    </row>
    <row r="30" spans="1:10" x14ac:dyDescent="0.25">
      <c r="A30" t="s">
        <v>348</v>
      </c>
    </row>
    <row r="31" spans="1:10" ht="16.5" x14ac:dyDescent="0.3">
      <c r="A31" t="s">
        <v>349</v>
      </c>
      <c r="B31" s="10">
        <v>3</v>
      </c>
      <c r="C31" s="9">
        <v>500000</v>
      </c>
      <c r="D31" s="3">
        <f>+B31*C31</f>
        <v>1500000</v>
      </c>
    </row>
    <row r="32" spans="1:10" ht="16.5" x14ac:dyDescent="0.3">
      <c r="A32" t="s">
        <v>350</v>
      </c>
      <c r="B32" s="10">
        <v>3</v>
      </c>
      <c r="C32" s="9">
        <v>700000</v>
      </c>
      <c r="D32" s="3">
        <f>+B32*C32</f>
        <v>2100000</v>
      </c>
    </row>
    <row r="33" spans="1:12" ht="16.5" x14ac:dyDescent="0.3">
      <c r="C33" s="9"/>
      <c r="D33" s="3">
        <v>1700000</v>
      </c>
    </row>
    <row r="34" spans="1:12" x14ac:dyDescent="0.25">
      <c r="D34" s="3">
        <f>SUM(D31:D33)</f>
        <v>5300000</v>
      </c>
      <c r="E34">
        <f>+D34/500</f>
        <v>10600</v>
      </c>
    </row>
    <row r="35" spans="1:12" ht="16.5" x14ac:dyDescent="0.25">
      <c r="A35" s="17" t="s">
        <v>351</v>
      </c>
      <c r="G35" t="s">
        <v>352</v>
      </c>
    </row>
    <row r="36" spans="1:12" ht="16.5" x14ac:dyDescent="0.3">
      <c r="A36" s="8">
        <v>1</v>
      </c>
      <c r="B36" s="13" t="s">
        <v>353</v>
      </c>
      <c r="C36" s="9">
        <v>36000</v>
      </c>
      <c r="F36" t="s">
        <v>354</v>
      </c>
    </row>
    <row r="37" spans="1:12" ht="16.5" x14ac:dyDescent="0.3">
      <c r="A37" s="8">
        <f>+A36+1</f>
        <v>2</v>
      </c>
      <c r="B37" s="13" t="s">
        <v>355</v>
      </c>
      <c r="C37" s="9">
        <v>22500</v>
      </c>
      <c r="F37" t="s">
        <v>356</v>
      </c>
      <c r="G37">
        <v>5</v>
      </c>
      <c r="H37" s="2">
        <v>105000</v>
      </c>
      <c r="I37">
        <v>6</v>
      </c>
      <c r="J37" s="2">
        <f>+G37*H37*I37</f>
        <v>3150000</v>
      </c>
    </row>
    <row r="38" spans="1:12" ht="33" x14ac:dyDescent="0.3">
      <c r="A38" s="8">
        <f t="shared" ref="A38:A50" si="0">+A37+1</f>
        <v>3</v>
      </c>
      <c r="B38" s="13" t="s">
        <v>357</v>
      </c>
      <c r="C38" s="9">
        <v>18000</v>
      </c>
      <c r="F38" t="s">
        <v>358</v>
      </c>
      <c r="G38">
        <v>5</v>
      </c>
      <c r="H38" s="2">
        <v>600000</v>
      </c>
      <c r="I38">
        <v>1</v>
      </c>
      <c r="J38" s="2">
        <f>+G38*H38*I38</f>
        <v>3000000</v>
      </c>
    </row>
    <row r="39" spans="1:12" ht="33" x14ac:dyDescent="0.3">
      <c r="A39" s="8">
        <f t="shared" si="0"/>
        <v>4</v>
      </c>
      <c r="B39" s="13" t="s">
        <v>359</v>
      </c>
      <c r="C39" s="9">
        <v>18000</v>
      </c>
      <c r="F39" t="s">
        <v>360</v>
      </c>
      <c r="G39">
        <v>5</v>
      </c>
      <c r="H39" s="2">
        <v>120000</v>
      </c>
      <c r="I39">
        <v>1</v>
      </c>
      <c r="J39" s="2">
        <f>+G39*H39*I39</f>
        <v>600000</v>
      </c>
    </row>
    <row r="40" spans="1:12" ht="16.5" x14ac:dyDescent="0.3">
      <c r="A40" s="8">
        <f t="shared" si="0"/>
        <v>5</v>
      </c>
      <c r="B40" s="13" t="s">
        <v>361</v>
      </c>
      <c r="C40" s="9">
        <v>18000</v>
      </c>
      <c r="J40" s="2">
        <f>SUM(J37:J39)</f>
        <v>6750000</v>
      </c>
      <c r="K40" s="3">
        <f>+J40/4</f>
        <v>1687500</v>
      </c>
    </row>
    <row r="41" spans="1:12" ht="16.5" x14ac:dyDescent="0.3">
      <c r="A41" s="8">
        <f t="shared" si="0"/>
        <v>6</v>
      </c>
      <c r="B41" s="13" t="s">
        <v>362</v>
      </c>
      <c r="C41" s="9">
        <v>9000</v>
      </c>
      <c r="K41" s="3">
        <f>+J40+K40</f>
        <v>8437500</v>
      </c>
      <c r="L41" s="2">
        <f>+K41/500</f>
        <v>16875</v>
      </c>
    </row>
    <row r="42" spans="1:12" ht="16.5" x14ac:dyDescent="0.3">
      <c r="A42" s="8">
        <f t="shared" si="0"/>
        <v>7</v>
      </c>
      <c r="B42" s="13" t="s">
        <v>363</v>
      </c>
      <c r="C42" s="9">
        <v>9000</v>
      </c>
    </row>
    <row r="43" spans="1:12" ht="16.5" x14ac:dyDescent="0.3">
      <c r="A43" s="8"/>
      <c r="B43" s="13" t="s">
        <v>364</v>
      </c>
      <c r="C43" s="9">
        <v>9000</v>
      </c>
      <c r="F43" t="s">
        <v>365</v>
      </c>
    </row>
    <row r="44" spans="1:12" ht="16.5" x14ac:dyDescent="0.3">
      <c r="A44" s="8">
        <f>+A42+1</f>
        <v>8</v>
      </c>
      <c r="B44" s="13" t="s">
        <v>366</v>
      </c>
      <c r="C44" s="9">
        <v>22500</v>
      </c>
      <c r="G44">
        <v>50</v>
      </c>
      <c r="H44" s="2">
        <v>10</v>
      </c>
      <c r="I44">
        <v>10000</v>
      </c>
      <c r="J44" s="2">
        <f>+G44*H44*I44</f>
        <v>5000000</v>
      </c>
      <c r="K44">
        <f>+J44/500</f>
        <v>10000</v>
      </c>
    </row>
    <row r="45" spans="1:12" ht="33" x14ac:dyDescent="0.3">
      <c r="A45" s="8">
        <f t="shared" si="0"/>
        <v>9</v>
      </c>
      <c r="B45" s="13" t="s">
        <v>367</v>
      </c>
      <c r="C45" s="9">
        <v>18000</v>
      </c>
    </row>
    <row r="46" spans="1:12" ht="33" x14ac:dyDescent="0.3">
      <c r="A46" s="8">
        <f t="shared" si="0"/>
        <v>10</v>
      </c>
      <c r="B46" s="13" t="s">
        <v>368</v>
      </c>
      <c r="C46" s="9">
        <v>18000</v>
      </c>
    </row>
    <row r="47" spans="1:12" ht="16.5" x14ac:dyDescent="0.3">
      <c r="A47" s="8">
        <f t="shared" si="0"/>
        <v>11</v>
      </c>
      <c r="B47" s="13" t="s">
        <v>369</v>
      </c>
      <c r="C47" s="9">
        <v>18000</v>
      </c>
    </row>
    <row r="48" spans="1:12" ht="16.5" x14ac:dyDescent="0.3">
      <c r="A48" s="8">
        <f t="shared" si="0"/>
        <v>12</v>
      </c>
      <c r="B48" s="13" t="s">
        <v>370</v>
      </c>
      <c r="C48" s="9">
        <v>18000</v>
      </c>
    </row>
    <row r="49" spans="1:4" ht="16.5" x14ac:dyDescent="0.3">
      <c r="A49" s="8">
        <f t="shared" si="0"/>
        <v>13</v>
      </c>
      <c r="B49" s="13" t="s">
        <v>371</v>
      </c>
      <c r="C49" s="9">
        <v>9000</v>
      </c>
    </row>
    <row r="50" spans="1:4" ht="33" x14ac:dyDescent="0.3">
      <c r="A50" s="8">
        <f t="shared" si="0"/>
        <v>14</v>
      </c>
      <c r="B50" s="13" t="s">
        <v>372</v>
      </c>
      <c r="C50" s="9">
        <v>9000</v>
      </c>
    </row>
    <row r="51" spans="1:4" ht="49.5" x14ac:dyDescent="0.3">
      <c r="A51" s="8">
        <v>1</v>
      </c>
      <c r="B51" s="13" t="s">
        <v>373</v>
      </c>
      <c r="C51" s="9">
        <v>9000</v>
      </c>
    </row>
    <row r="52" spans="1:4" ht="33" x14ac:dyDescent="0.3">
      <c r="A52" s="8">
        <v>2</v>
      </c>
      <c r="B52" s="13" t="s">
        <v>374</v>
      </c>
      <c r="C52" s="9">
        <v>9000</v>
      </c>
    </row>
    <row r="53" spans="1:4" ht="49.5" x14ac:dyDescent="0.3">
      <c r="A53" s="8">
        <v>3</v>
      </c>
      <c r="B53" s="13" t="s">
        <v>375</v>
      </c>
      <c r="C53" s="9">
        <v>9000</v>
      </c>
    </row>
    <row r="54" spans="1:4" ht="66" x14ac:dyDescent="0.3">
      <c r="A54" s="8">
        <v>4</v>
      </c>
      <c r="B54" s="13" t="s">
        <v>376</v>
      </c>
      <c r="C54" s="9">
        <v>9000</v>
      </c>
    </row>
    <row r="55" spans="1:4" ht="16.5" x14ac:dyDescent="0.3">
      <c r="A55" s="8"/>
      <c r="B55" s="13" t="s">
        <v>377</v>
      </c>
      <c r="C55" s="9">
        <v>9000</v>
      </c>
    </row>
    <row r="56" spans="1:4" x14ac:dyDescent="0.25">
      <c r="B56" s="10" t="s">
        <v>378</v>
      </c>
      <c r="C56" s="2">
        <f>9000*4</f>
        <v>36000</v>
      </c>
    </row>
    <row r="58" spans="1:4" x14ac:dyDescent="0.25">
      <c r="B58" s="10" t="s">
        <v>9</v>
      </c>
      <c r="C58" s="2">
        <f>SUM(C36:C57)</f>
        <v>333000</v>
      </c>
    </row>
    <row r="59" spans="1:4" x14ac:dyDescent="0.25">
      <c r="C59" s="2">
        <f>+C58*12</f>
        <v>3996000</v>
      </c>
      <c r="D59" s="2">
        <f>+C59/500</f>
        <v>7992</v>
      </c>
    </row>
  </sheetData>
  <mergeCells count="8">
    <mergeCell ref="G5:H5"/>
    <mergeCell ref="G14:H14"/>
    <mergeCell ref="B5:C5"/>
    <mergeCell ref="B14:C14"/>
    <mergeCell ref="D5:E5"/>
    <mergeCell ref="D14:E14"/>
    <mergeCell ref="F5:F6"/>
    <mergeCell ref="F14:F1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0"/>
  <sheetViews>
    <sheetView workbookViewId="0"/>
  </sheetViews>
  <sheetFormatPr baseColWidth="10" defaultColWidth="11.42578125" defaultRowHeight="15" x14ac:dyDescent="0.25"/>
  <cols>
    <col min="3" max="3" width="35.85546875" customWidth="1"/>
    <col min="4" max="4" width="23.5703125" customWidth="1"/>
    <col min="5" max="5" width="17" customWidth="1"/>
    <col min="6" max="6" width="19.140625" customWidth="1"/>
  </cols>
  <sheetData>
    <row r="2" spans="2:6" x14ac:dyDescent="0.25">
      <c r="C2" t="s">
        <v>4</v>
      </c>
    </row>
    <row r="4" spans="2:6" ht="16.5" x14ac:dyDescent="0.3">
      <c r="B4" s="53"/>
      <c r="C4" s="54"/>
      <c r="D4" s="54" t="s">
        <v>379</v>
      </c>
      <c r="E4" s="54" t="s">
        <v>380</v>
      </c>
      <c r="F4" s="54" t="s">
        <v>381</v>
      </c>
    </row>
    <row r="5" spans="2:6" ht="16.5" x14ac:dyDescent="0.3">
      <c r="B5" s="55"/>
      <c r="C5" s="56"/>
      <c r="D5" s="55"/>
      <c r="E5" s="57"/>
      <c r="F5" s="57"/>
    </row>
    <row r="6" spans="2:6" ht="46.5" x14ac:dyDescent="0.25">
      <c r="B6" s="129" t="s">
        <v>382</v>
      </c>
      <c r="C6" s="130" t="s">
        <v>383</v>
      </c>
      <c r="D6" s="131">
        <f>+'C1A'!J23</f>
        <v>318365</v>
      </c>
      <c r="E6" s="131"/>
      <c r="F6" s="131"/>
    </row>
    <row r="7" spans="2:6" ht="46.5" x14ac:dyDescent="0.25">
      <c r="B7" s="129" t="s">
        <v>384</v>
      </c>
      <c r="C7" s="130" t="s">
        <v>385</v>
      </c>
      <c r="D7" s="131">
        <f>+'C1B'!J7</f>
        <v>11017</v>
      </c>
      <c r="E7" s="131"/>
      <c r="F7" s="131"/>
    </row>
    <row r="8" spans="2:6" ht="46.5" x14ac:dyDescent="0.25">
      <c r="B8" s="129" t="s">
        <v>386</v>
      </c>
      <c r="C8" s="130" t="s">
        <v>387</v>
      </c>
      <c r="D8" s="131">
        <f>+'C1C'!J7</f>
        <v>20500</v>
      </c>
      <c r="E8" s="131"/>
      <c r="F8" s="131"/>
    </row>
    <row r="9" spans="2:6" ht="69.75" x14ac:dyDescent="0.25">
      <c r="B9" s="129" t="s">
        <v>388</v>
      </c>
      <c r="C9" s="130" t="s">
        <v>389</v>
      </c>
      <c r="D9" s="131">
        <f>+'C1D'!I6</f>
        <v>1750</v>
      </c>
      <c r="E9" s="131"/>
      <c r="F9" s="131"/>
    </row>
    <row r="10" spans="2:6" ht="23.25" x14ac:dyDescent="0.25">
      <c r="B10" s="132"/>
      <c r="C10" s="133" t="s">
        <v>9</v>
      </c>
      <c r="D10" s="134">
        <f>SUM(D6:D9)</f>
        <v>351632</v>
      </c>
      <c r="E10" s="135">
        <v>250000</v>
      </c>
      <c r="F10" s="136">
        <f>+D10-E10</f>
        <v>101632</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U23"/>
  <sheetViews>
    <sheetView workbookViewId="0"/>
  </sheetViews>
  <sheetFormatPr baseColWidth="10" defaultColWidth="11.42578125" defaultRowHeight="15" x14ac:dyDescent="0.25"/>
  <cols>
    <col min="2" max="2" width="2.85546875" customWidth="1"/>
    <col min="3" max="3" width="24.5703125" customWidth="1"/>
    <col min="4" max="4" width="28" customWidth="1"/>
    <col min="5" max="5" width="19.5703125" customWidth="1"/>
    <col min="6" max="6" width="9" bestFit="1" customWidth="1"/>
    <col min="7" max="7" width="0.140625" customWidth="1"/>
    <col min="8" max="8" width="17" hidden="1" customWidth="1"/>
    <col min="9" max="9" width="6.140625" bestFit="1" customWidth="1"/>
    <col min="10" max="11" width="18.85546875" style="2" customWidth="1"/>
    <col min="12" max="12" width="15" style="2" customWidth="1"/>
    <col min="13" max="14" width="15.42578125" bestFit="1" customWidth="1"/>
    <col min="15" max="15" width="14.42578125" bestFit="1" customWidth="1"/>
    <col min="16" max="16" width="15.42578125" bestFit="1" customWidth="1"/>
    <col min="17" max="17" width="16.42578125" bestFit="1" customWidth="1"/>
    <col min="18" max="18" width="12.5703125" bestFit="1" customWidth="1"/>
    <col min="20" max="20" width="14.42578125" bestFit="1" customWidth="1"/>
    <col min="21" max="21" width="11.85546875" bestFit="1" customWidth="1"/>
  </cols>
  <sheetData>
    <row r="2" spans="2:21" x14ac:dyDescent="0.25">
      <c r="C2" s="104" t="s">
        <v>390</v>
      </c>
    </row>
    <row r="4" spans="2:21" x14ac:dyDescent="0.25">
      <c r="B4" s="68"/>
      <c r="C4" s="68" t="s">
        <v>391</v>
      </c>
      <c r="D4" s="68" t="s">
        <v>392</v>
      </c>
      <c r="E4" s="68" t="s">
        <v>393</v>
      </c>
      <c r="F4" s="68">
        <v>2021</v>
      </c>
      <c r="G4" s="68" t="s">
        <v>394</v>
      </c>
      <c r="H4" s="68" t="s">
        <v>395</v>
      </c>
      <c r="I4" s="68" t="s">
        <v>396</v>
      </c>
      <c r="J4" s="102" t="s">
        <v>397</v>
      </c>
      <c r="K4" s="147" t="s">
        <v>398</v>
      </c>
      <c r="L4" s="94" t="s">
        <v>327</v>
      </c>
      <c r="M4" s="145" t="s">
        <v>399</v>
      </c>
      <c r="N4" s="145" t="s">
        <v>400</v>
      </c>
    </row>
    <row r="5" spans="2:21" ht="89.25" x14ac:dyDescent="0.25">
      <c r="B5" s="30">
        <v>1</v>
      </c>
      <c r="C5" s="31" t="s">
        <v>50</v>
      </c>
      <c r="D5" s="31" t="s">
        <v>401</v>
      </c>
      <c r="E5" s="31" t="s">
        <v>53</v>
      </c>
      <c r="F5" s="45">
        <v>2100</v>
      </c>
      <c r="G5" s="64">
        <f>+F5*500</f>
        <v>1050000</v>
      </c>
      <c r="H5" s="64">
        <v>2459844</v>
      </c>
      <c r="I5" s="77">
        <f>+H5/G5</f>
        <v>2.3427085714285716</v>
      </c>
      <c r="J5" s="70">
        <v>8710</v>
      </c>
      <c r="K5" s="190" t="s">
        <v>402</v>
      </c>
      <c r="L5" s="2">
        <f>+J5*500</f>
        <v>4355000</v>
      </c>
      <c r="M5">
        <f>+(103950*1.18*2+57200*1.18)*10+103950*1.18*10</f>
        <v>4354790</v>
      </c>
      <c r="N5" t="s">
        <v>403</v>
      </c>
      <c r="O5">
        <f>+M5/500</f>
        <v>8709.58</v>
      </c>
    </row>
    <row r="6" spans="2:21" ht="25.5" x14ac:dyDescent="0.25">
      <c r="B6" s="30">
        <f>+B5+1</f>
        <v>2</v>
      </c>
      <c r="C6" s="31" t="s">
        <v>55</v>
      </c>
      <c r="D6" s="31" t="s">
        <v>56</v>
      </c>
      <c r="E6" s="31" t="s">
        <v>57</v>
      </c>
      <c r="F6" s="45">
        <v>1700</v>
      </c>
      <c r="G6" s="64">
        <f t="shared" ref="G6:G22" si="0">+F6*500</f>
        <v>850000</v>
      </c>
      <c r="H6" s="64"/>
      <c r="I6" s="77">
        <f t="shared" ref="I6:I22" si="1">+H6/G6</f>
        <v>0</v>
      </c>
      <c r="J6" s="70">
        <v>1000</v>
      </c>
      <c r="K6" s="52"/>
      <c r="L6" s="146">
        <f t="shared" ref="L6:L22" si="2">+J6*500</f>
        <v>500000</v>
      </c>
    </row>
    <row r="7" spans="2:21" ht="76.5" x14ac:dyDescent="0.25">
      <c r="B7" s="30">
        <f t="shared" ref="B7:B22" si="3">+B6+1</f>
        <v>3</v>
      </c>
      <c r="C7" s="31" t="s">
        <v>58</v>
      </c>
      <c r="D7" s="31" t="s">
        <v>404</v>
      </c>
      <c r="E7" s="31" t="s">
        <v>60</v>
      </c>
      <c r="F7" s="45">
        <v>120160</v>
      </c>
      <c r="G7" s="64">
        <f t="shared" si="0"/>
        <v>60080000</v>
      </c>
      <c r="H7" s="64">
        <v>41510502</v>
      </c>
      <c r="I7" s="77">
        <f t="shared" si="1"/>
        <v>0.69092047270306256</v>
      </c>
      <c r="J7" s="70">
        <v>130288</v>
      </c>
      <c r="K7" s="52">
        <f>5428650*12</f>
        <v>65143800</v>
      </c>
      <c r="L7" s="2">
        <f t="shared" si="2"/>
        <v>65144000</v>
      </c>
      <c r="M7">
        <f>+K7/500</f>
        <v>130287.6</v>
      </c>
    </row>
    <row r="8" spans="2:21" ht="26.25" x14ac:dyDescent="0.25">
      <c r="B8" s="30">
        <f t="shared" si="3"/>
        <v>4</v>
      </c>
      <c r="C8" s="31" t="s">
        <v>61</v>
      </c>
      <c r="D8" s="31" t="s">
        <v>405</v>
      </c>
      <c r="E8" s="31" t="s">
        <v>63</v>
      </c>
      <c r="F8" s="45">
        <v>1800</v>
      </c>
      <c r="G8" s="64">
        <f>+F8*500</f>
        <v>900000</v>
      </c>
      <c r="H8" s="64">
        <v>1179768</v>
      </c>
      <c r="I8" s="77">
        <f t="shared" si="1"/>
        <v>1.3108533333333334</v>
      </c>
      <c r="J8" s="70">
        <v>2400</v>
      </c>
      <c r="K8" s="52" t="s">
        <v>406</v>
      </c>
      <c r="L8" s="2">
        <f t="shared" si="2"/>
        <v>1200000</v>
      </c>
    </row>
    <row r="9" spans="2:21" ht="76.5" x14ac:dyDescent="0.25">
      <c r="B9" s="30">
        <f t="shared" si="3"/>
        <v>5</v>
      </c>
      <c r="C9" s="31" t="s">
        <v>64</v>
      </c>
      <c r="D9" s="31" t="s">
        <v>407</v>
      </c>
      <c r="E9" s="31" t="s">
        <v>66</v>
      </c>
      <c r="F9" s="45">
        <v>9000</v>
      </c>
      <c r="G9" s="64">
        <f t="shared" si="0"/>
        <v>4500000</v>
      </c>
      <c r="H9" s="64"/>
      <c r="I9" s="77">
        <f t="shared" si="1"/>
        <v>0</v>
      </c>
      <c r="J9" s="64">
        <v>9000</v>
      </c>
      <c r="K9" s="52" t="s">
        <v>408</v>
      </c>
      <c r="L9" s="2">
        <f t="shared" si="2"/>
        <v>4500000</v>
      </c>
    </row>
    <row r="10" spans="2:21" ht="51.75" x14ac:dyDescent="0.25">
      <c r="B10" s="30">
        <f t="shared" si="3"/>
        <v>6</v>
      </c>
      <c r="C10" s="31" t="s">
        <v>67</v>
      </c>
      <c r="D10" s="31" t="s">
        <v>409</v>
      </c>
      <c r="E10" s="31" t="s">
        <v>410</v>
      </c>
      <c r="F10" s="45">
        <v>7200</v>
      </c>
      <c r="G10" s="64">
        <f t="shared" si="0"/>
        <v>3600000</v>
      </c>
      <c r="H10" s="64">
        <v>3807028</v>
      </c>
      <c r="I10" s="77">
        <f t="shared" si="1"/>
        <v>1.0575077777777777</v>
      </c>
      <c r="J10" s="70">
        <v>28450</v>
      </c>
      <c r="K10" s="52" t="s">
        <v>411</v>
      </c>
      <c r="L10" s="2">
        <v>10625000</v>
      </c>
      <c r="M10" s="93">
        <f>16*600000+375000*3+3500000*1</f>
        <v>14225000</v>
      </c>
      <c r="N10">
        <f>+M10/500</f>
        <v>28450</v>
      </c>
    </row>
    <row r="11" spans="2:21" ht="39" x14ac:dyDescent="0.25">
      <c r="B11" s="30">
        <f t="shared" si="3"/>
        <v>7</v>
      </c>
      <c r="C11" s="31" t="s">
        <v>70</v>
      </c>
      <c r="D11" s="31" t="s">
        <v>71</v>
      </c>
      <c r="E11" s="31" t="s">
        <v>72</v>
      </c>
      <c r="F11" s="45">
        <v>2500</v>
      </c>
      <c r="G11" s="64">
        <f t="shared" si="0"/>
        <v>1250000</v>
      </c>
      <c r="H11" s="64">
        <v>4800000</v>
      </c>
      <c r="I11" s="77">
        <f t="shared" si="1"/>
        <v>3.84</v>
      </c>
      <c r="J11" s="70">
        <v>12600</v>
      </c>
      <c r="K11" s="52" t="s">
        <v>412</v>
      </c>
      <c r="L11" s="2">
        <f t="shared" si="2"/>
        <v>6300000</v>
      </c>
      <c r="M11">
        <v>4800000</v>
      </c>
      <c r="N11">
        <f>+M11/500</f>
        <v>9600</v>
      </c>
      <c r="O11" s="2">
        <f>150000*12+4500000</f>
        <v>6300000</v>
      </c>
      <c r="P11">
        <f>+O11/500</f>
        <v>12600</v>
      </c>
    </row>
    <row r="12" spans="2:21" ht="89.25" x14ac:dyDescent="0.25">
      <c r="B12" s="30">
        <f t="shared" si="3"/>
        <v>8</v>
      </c>
      <c r="C12" s="31" t="s">
        <v>73</v>
      </c>
      <c r="D12" s="31" t="s">
        <v>74</v>
      </c>
      <c r="E12" s="31" t="s">
        <v>75</v>
      </c>
      <c r="F12" s="45">
        <v>2400</v>
      </c>
      <c r="G12" s="64">
        <f t="shared" si="0"/>
        <v>1200000</v>
      </c>
      <c r="H12" s="64">
        <v>1073918</v>
      </c>
      <c r="I12" s="77">
        <f t="shared" si="1"/>
        <v>0.89493166666666668</v>
      </c>
      <c r="J12" s="70">
        <v>2400</v>
      </c>
      <c r="K12" s="52"/>
      <c r="L12" s="2">
        <f t="shared" si="2"/>
        <v>1200000</v>
      </c>
      <c r="M12">
        <v>1200000</v>
      </c>
      <c r="N12">
        <f>+M12/500</f>
        <v>2400</v>
      </c>
    </row>
    <row r="13" spans="2:21" ht="128.25" x14ac:dyDescent="0.25">
      <c r="B13" s="30">
        <f t="shared" si="3"/>
        <v>9</v>
      </c>
      <c r="C13" s="31" t="s">
        <v>76</v>
      </c>
      <c r="D13" s="31" t="s">
        <v>77</v>
      </c>
      <c r="E13" s="31" t="s">
        <v>78</v>
      </c>
      <c r="F13" s="45">
        <v>29121</v>
      </c>
      <c r="G13" s="64">
        <f t="shared" si="0"/>
        <v>14560500</v>
      </c>
      <c r="H13" s="64"/>
      <c r="I13" s="77">
        <f t="shared" si="1"/>
        <v>0</v>
      </c>
      <c r="J13" s="70">
        <v>37746</v>
      </c>
      <c r="K13" s="191" t="s">
        <v>413</v>
      </c>
      <c r="L13" s="2">
        <f t="shared" si="2"/>
        <v>18873000</v>
      </c>
      <c r="P13" s="2">
        <f>160000*13+800000+5200*655.957</f>
        <v>6290976.4000000004</v>
      </c>
      <c r="Q13" s="2">
        <f>+P13*3</f>
        <v>18872929.200000003</v>
      </c>
      <c r="R13" s="2">
        <f>+Q13/500</f>
        <v>37745.858400000005</v>
      </c>
      <c r="S13">
        <f>30*5*40000</f>
        <v>6000000</v>
      </c>
      <c r="T13" s="2">
        <f>70000*5+2500*2*30+7000*30+13*4200+3500*30+2*100000*5+40000*2*5</f>
        <v>2269600</v>
      </c>
    </row>
    <row r="14" spans="2:21" ht="102" x14ac:dyDescent="0.25">
      <c r="B14" s="30">
        <f t="shared" si="3"/>
        <v>10</v>
      </c>
      <c r="C14" s="31" t="s">
        <v>79</v>
      </c>
      <c r="D14" s="31" t="s">
        <v>414</v>
      </c>
      <c r="E14" s="31" t="s">
        <v>415</v>
      </c>
      <c r="F14" s="45">
        <v>1875</v>
      </c>
      <c r="G14" s="64">
        <f t="shared" si="0"/>
        <v>937500</v>
      </c>
      <c r="H14" s="64">
        <v>450000</v>
      </c>
      <c r="I14" s="77">
        <f t="shared" si="1"/>
        <v>0.48</v>
      </c>
      <c r="J14" s="70">
        <v>2700</v>
      </c>
      <c r="K14" s="192" t="s">
        <v>416</v>
      </c>
      <c r="L14" s="2">
        <f t="shared" si="2"/>
        <v>1350000</v>
      </c>
      <c r="M14">
        <f>225000*4</f>
        <v>900000</v>
      </c>
      <c r="N14">
        <f>+M14/500</f>
        <v>1800</v>
      </c>
      <c r="O14">
        <f>1350000/500</f>
        <v>2700</v>
      </c>
      <c r="P14">
        <f>225000*4+450000</f>
        <v>1350000</v>
      </c>
      <c r="T14" s="3">
        <f>+S13+T13+P13</f>
        <v>14560576.4</v>
      </c>
      <c r="U14" s="2">
        <f>+T14/500</f>
        <v>29121.1528</v>
      </c>
    </row>
    <row r="15" spans="2:21" ht="26.25" x14ac:dyDescent="0.25">
      <c r="B15" s="30">
        <f t="shared" si="3"/>
        <v>11</v>
      </c>
      <c r="C15" s="31" t="s">
        <v>82</v>
      </c>
      <c r="D15" s="31" t="s">
        <v>83</v>
      </c>
      <c r="E15" s="31" t="s">
        <v>84</v>
      </c>
      <c r="F15" s="45">
        <v>1000</v>
      </c>
      <c r="G15" s="64">
        <f t="shared" si="0"/>
        <v>500000</v>
      </c>
      <c r="H15" s="64">
        <v>182250</v>
      </c>
      <c r="I15" s="77">
        <f t="shared" si="1"/>
        <v>0.36449999999999999</v>
      </c>
      <c r="J15" s="70">
        <v>365</v>
      </c>
      <c r="K15" s="52" t="s">
        <v>417</v>
      </c>
      <c r="L15" s="2">
        <f t="shared" si="2"/>
        <v>182500</v>
      </c>
      <c r="M15" s="2">
        <f>182250/500</f>
        <v>364.5</v>
      </c>
    </row>
    <row r="16" spans="2:21" ht="51" x14ac:dyDescent="0.25">
      <c r="B16" s="30">
        <f t="shared" si="3"/>
        <v>12</v>
      </c>
      <c r="C16" s="31" t="s">
        <v>85</v>
      </c>
      <c r="D16" s="31" t="s">
        <v>86</v>
      </c>
      <c r="E16" s="31" t="s">
        <v>87</v>
      </c>
      <c r="F16" s="45">
        <v>15000</v>
      </c>
      <c r="G16" s="64">
        <f t="shared" si="0"/>
        <v>7500000</v>
      </c>
      <c r="H16" s="64">
        <v>8183042</v>
      </c>
      <c r="I16" s="77">
        <f t="shared" si="1"/>
        <v>1.0910722666666666</v>
      </c>
      <c r="J16" s="70">
        <v>28978</v>
      </c>
      <c r="K16" s="52" t="s">
        <v>418</v>
      </c>
      <c r="L16" s="2">
        <f t="shared" si="2"/>
        <v>14489000</v>
      </c>
      <c r="M16" s="2">
        <f>675000*12+100000*12*2+50000*12+3388940</f>
        <v>14488940</v>
      </c>
      <c r="N16" s="2">
        <f>+M16/500</f>
        <v>28977.88</v>
      </c>
    </row>
    <row r="17" spans="2:14" ht="38.25" x14ac:dyDescent="0.25">
      <c r="B17" s="30">
        <f t="shared" si="3"/>
        <v>13</v>
      </c>
      <c r="C17" s="31" t="s">
        <v>88</v>
      </c>
      <c r="D17" s="31" t="s">
        <v>89</v>
      </c>
      <c r="E17" s="31" t="s">
        <v>419</v>
      </c>
      <c r="F17" s="45">
        <v>7992</v>
      </c>
      <c r="G17" s="64">
        <f t="shared" si="0"/>
        <v>3996000</v>
      </c>
      <c r="H17" s="64">
        <v>2565000</v>
      </c>
      <c r="I17" s="77">
        <f t="shared" si="1"/>
        <v>0.64189189189189189</v>
      </c>
      <c r="J17" s="70">
        <v>10272</v>
      </c>
      <c r="K17" s="52"/>
      <c r="L17" s="2">
        <f t="shared" si="2"/>
        <v>5136000</v>
      </c>
      <c r="M17" s="2">
        <f>428000*12</f>
        <v>5136000</v>
      </c>
      <c r="N17">
        <f>+M17/500</f>
        <v>10272</v>
      </c>
    </row>
    <row r="18" spans="2:14" ht="51" x14ac:dyDescent="0.25">
      <c r="B18" s="30">
        <f t="shared" si="3"/>
        <v>14</v>
      </c>
      <c r="C18" s="31" t="s">
        <v>91</v>
      </c>
      <c r="D18" s="31" t="s">
        <v>92</v>
      </c>
      <c r="E18" s="31" t="s">
        <v>93</v>
      </c>
      <c r="F18" s="45">
        <v>16875</v>
      </c>
      <c r="G18" s="64">
        <f t="shared" si="0"/>
        <v>8437500</v>
      </c>
      <c r="H18" s="64">
        <v>2785000</v>
      </c>
      <c r="I18" s="77">
        <f t="shared" si="1"/>
        <v>0.33007407407407408</v>
      </c>
      <c r="J18" s="70">
        <v>12656</v>
      </c>
      <c r="K18" s="52" t="s">
        <v>420</v>
      </c>
      <c r="L18" s="2">
        <f t="shared" si="2"/>
        <v>6328000</v>
      </c>
      <c r="M18" s="2">
        <f>+J18*0.75</f>
        <v>9492</v>
      </c>
    </row>
    <row r="19" spans="2:14" ht="38.25" x14ac:dyDescent="0.25">
      <c r="B19" s="30">
        <f t="shared" si="3"/>
        <v>15</v>
      </c>
      <c r="C19" s="31" t="s">
        <v>421</v>
      </c>
      <c r="D19" s="31" t="s">
        <v>95</v>
      </c>
      <c r="E19" s="31" t="s">
        <v>96</v>
      </c>
      <c r="F19" s="45">
        <v>4500</v>
      </c>
      <c r="G19" s="64">
        <f t="shared" si="0"/>
        <v>2250000</v>
      </c>
      <c r="H19" s="64"/>
      <c r="I19" s="77">
        <f t="shared" si="1"/>
        <v>0</v>
      </c>
      <c r="J19" s="70">
        <v>5600</v>
      </c>
      <c r="K19" s="52"/>
      <c r="L19" s="2">
        <f t="shared" si="2"/>
        <v>2800000</v>
      </c>
      <c r="M19">
        <v>2774770</v>
      </c>
      <c r="N19">
        <f>+M19/500</f>
        <v>5549.54</v>
      </c>
    </row>
    <row r="20" spans="2:14" ht="51" x14ac:dyDescent="0.25">
      <c r="B20" s="30">
        <f t="shared" si="3"/>
        <v>16</v>
      </c>
      <c r="C20" s="31" t="s">
        <v>97</v>
      </c>
      <c r="D20" s="31" t="s">
        <v>98</v>
      </c>
      <c r="E20" s="31" t="s">
        <v>422</v>
      </c>
      <c r="F20" s="45">
        <f>22000*0.75</f>
        <v>16500</v>
      </c>
      <c r="G20" s="64">
        <f t="shared" si="0"/>
        <v>8250000</v>
      </c>
      <c r="H20" s="64">
        <v>5306886</v>
      </c>
      <c r="I20" s="77">
        <f t="shared" si="1"/>
        <v>0.6432589090909091</v>
      </c>
      <c r="J20" s="70">
        <v>15800</v>
      </c>
      <c r="K20" s="52"/>
      <c r="L20" s="2">
        <f t="shared" si="2"/>
        <v>7900000</v>
      </c>
      <c r="M20">
        <v>7900000</v>
      </c>
      <c r="N20">
        <f>+M20/500</f>
        <v>15800</v>
      </c>
    </row>
    <row r="21" spans="2:14" ht="38.25" x14ac:dyDescent="0.25">
      <c r="B21" s="30">
        <f t="shared" si="3"/>
        <v>17</v>
      </c>
      <c r="C21" s="31" t="s">
        <v>100</v>
      </c>
      <c r="D21" s="31" t="s">
        <v>101</v>
      </c>
      <c r="E21" s="31" t="s">
        <v>102</v>
      </c>
      <c r="F21" s="45">
        <v>7000</v>
      </c>
      <c r="G21" s="64">
        <f t="shared" si="0"/>
        <v>3500000</v>
      </c>
      <c r="H21" s="64">
        <v>2118940</v>
      </c>
      <c r="I21" s="77">
        <f t="shared" si="1"/>
        <v>0.6054114285714286</v>
      </c>
      <c r="J21" s="70">
        <v>7000</v>
      </c>
      <c r="K21" s="52" t="s">
        <v>408</v>
      </c>
      <c r="L21" s="2">
        <f t="shared" si="2"/>
        <v>3500000</v>
      </c>
      <c r="M21">
        <f>200000*8</f>
        <v>1600000</v>
      </c>
      <c r="N21">
        <f>+M21/500</f>
        <v>3200</v>
      </c>
    </row>
    <row r="22" spans="2:14" ht="51" x14ac:dyDescent="0.25">
      <c r="B22" s="30">
        <f t="shared" si="3"/>
        <v>18</v>
      </c>
      <c r="C22" s="31" t="s">
        <v>103</v>
      </c>
      <c r="D22" s="31" t="s">
        <v>104</v>
      </c>
      <c r="E22" s="31" t="s">
        <v>105</v>
      </c>
      <c r="F22" s="45" t="s">
        <v>423</v>
      </c>
      <c r="G22" s="64" t="e">
        <f t="shared" si="0"/>
        <v>#VALUE!</v>
      </c>
      <c r="H22" s="64">
        <v>904744</v>
      </c>
      <c r="I22" s="77" t="e">
        <f t="shared" si="1"/>
        <v>#VALUE!</v>
      </c>
      <c r="J22" s="70">
        <v>2400</v>
      </c>
      <c r="K22" s="52"/>
      <c r="L22" s="2">
        <f t="shared" si="2"/>
        <v>1200000</v>
      </c>
      <c r="M22" s="3">
        <v>1200000</v>
      </c>
      <c r="N22">
        <f>+M22/500</f>
        <v>2400</v>
      </c>
    </row>
    <row r="23" spans="2:14" x14ac:dyDescent="0.25">
      <c r="B23" s="68"/>
      <c r="C23" s="68" t="s">
        <v>9</v>
      </c>
      <c r="D23" s="68"/>
      <c r="E23" s="68"/>
      <c r="F23" s="68"/>
      <c r="G23" s="68"/>
      <c r="H23" s="68"/>
      <c r="I23" s="68"/>
      <c r="J23" s="96">
        <f>SUM(J5:J22)</f>
        <v>318365</v>
      </c>
      <c r="K23" s="193"/>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7"/>
  <sheetViews>
    <sheetView workbookViewId="0"/>
  </sheetViews>
  <sheetFormatPr baseColWidth="10" defaultColWidth="11.42578125" defaultRowHeight="15" x14ac:dyDescent="0.25"/>
  <cols>
    <col min="2" max="2" width="5.42578125" customWidth="1"/>
    <col min="3" max="3" width="24.42578125" customWidth="1"/>
    <col min="4" max="4" width="17.42578125" customWidth="1"/>
    <col min="5" max="5" width="25" customWidth="1"/>
    <col min="6" max="6" width="11.85546875" bestFit="1" customWidth="1"/>
    <col min="7" max="7" width="17.85546875" customWidth="1"/>
    <col min="8" max="8" width="23.5703125" hidden="1" customWidth="1"/>
    <col min="9" max="9" width="14.5703125" customWidth="1"/>
    <col min="10" max="10" width="19.5703125" style="2" customWidth="1"/>
    <col min="13" max="13" width="12" bestFit="1" customWidth="1"/>
  </cols>
  <sheetData>
    <row r="2" spans="2:13" ht="18.75" x14ac:dyDescent="0.3">
      <c r="B2" s="110"/>
      <c r="C2" s="110" t="s">
        <v>106</v>
      </c>
      <c r="D2" s="110"/>
      <c r="E2" s="110"/>
      <c r="F2" s="110"/>
      <c r="G2" s="110"/>
      <c r="H2" s="110"/>
      <c r="I2" s="110"/>
      <c r="J2" s="137"/>
    </row>
    <row r="3" spans="2:13" ht="18.75" x14ac:dyDescent="0.3">
      <c r="B3" s="110"/>
      <c r="C3" s="110"/>
      <c r="D3" s="110"/>
      <c r="E3" s="110"/>
      <c r="F3" s="110"/>
      <c r="G3" s="110"/>
      <c r="H3" s="110"/>
      <c r="I3" s="110"/>
      <c r="J3" s="137"/>
    </row>
    <row r="4" spans="2:13" ht="18.75" x14ac:dyDescent="0.3">
      <c r="B4" s="89"/>
      <c r="C4" s="89" t="s">
        <v>391</v>
      </c>
      <c r="D4" s="89" t="s">
        <v>392</v>
      </c>
      <c r="E4" s="89" t="s">
        <v>393</v>
      </c>
      <c r="F4" s="89"/>
      <c r="G4" s="89" t="s">
        <v>394</v>
      </c>
      <c r="H4" s="89" t="s">
        <v>395</v>
      </c>
      <c r="I4" s="89" t="s">
        <v>396</v>
      </c>
      <c r="J4" s="138" t="s">
        <v>424</v>
      </c>
    </row>
    <row r="5" spans="2:13" ht="126" x14ac:dyDescent="0.25">
      <c r="B5" s="139">
        <f>+B4+1</f>
        <v>1</v>
      </c>
      <c r="C5" s="140" t="s">
        <v>107</v>
      </c>
      <c r="D5" s="140" t="s">
        <v>108</v>
      </c>
      <c r="E5" s="140" t="s">
        <v>109</v>
      </c>
      <c r="F5" s="141">
        <v>10000</v>
      </c>
      <c r="G5" s="142">
        <f>F5*500</f>
        <v>5000000</v>
      </c>
      <c r="H5" s="142">
        <v>4168500</v>
      </c>
      <c r="I5" s="143">
        <f>+H5/G5</f>
        <v>0.8337</v>
      </c>
      <c r="J5" s="144">
        <v>8422</v>
      </c>
      <c r="K5">
        <f>+J5*500</f>
        <v>4211000</v>
      </c>
      <c r="L5">
        <f>3060000*1.18+600000</f>
        <v>4210800</v>
      </c>
      <c r="M5" s="2">
        <f>+L5/500</f>
        <v>8421.6</v>
      </c>
    </row>
    <row r="6" spans="2:13" ht="198" x14ac:dyDescent="0.25">
      <c r="B6" s="139">
        <f>+B5+1</f>
        <v>2</v>
      </c>
      <c r="C6" s="140" t="s">
        <v>111</v>
      </c>
      <c r="D6" s="140" t="s">
        <v>112</v>
      </c>
      <c r="E6" s="140" t="s">
        <v>113</v>
      </c>
      <c r="F6" s="141">
        <v>40000</v>
      </c>
      <c r="G6" s="142">
        <f>F6*500</f>
        <v>20000000</v>
      </c>
      <c r="H6" s="142">
        <v>24340537</v>
      </c>
      <c r="I6" s="143">
        <f>+H6/G6</f>
        <v>1.2170268500000001</v>
      </c>
      <c r="J6" s="144">
        <v>2595</v>
      </c>
      <c r="K6">
        <f>+J6*500</f>
        <v>1297500</v>
      </c>
      <c r="L6">
        <v>1297419</v>
      </c>
      <c r="M6" s="2">
        <f>+L6/500</f>
        <v>2594.8380000000002</v>
      </c>
    </row>
    <row r="7" spans="2:13" ht="18.75" x14ac:dyDescent="0.3">
      <c r="B7" s="89"/>
      <c r="C7" s="89" t="s">
        <v>9</v>
      </c>
      <c r="D7" s="89"/>
      <c r="E7" s="89"/>
      <c r="F7" s="89"/>
      <c r="G7" s="89"/>
      <c r="H7" s="89"/>
      <c r="I7" s="89"/>
      <c r="J7" s="138">
        <f>SUM(J5:J6)</f>
        <v>11017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M9"/>
  <sheetViews>
    <sheetView workbookViewId="0"/>
  </sheetViews>
  <sheetFormatPr baseColWidth="10" defaultColWidth="11.42578125" defaultRowHeight="15" x14ac:dyDescent="0.25"/>
  <cols>
    <col min="2" max="2" width="4.5703125" customWidth="1"/>
    <col min="3" max="3" width="19.42578125" customWidth="1"/>
    <col min="4" max="4" width="17.85546875" customWidth="1"/>
    <col min="5" max="5" width="15.140625" customWidth="1"/>
    <col min="7" max="7" width="12.85546875" customWidth="1"/>
    <col min="8" max="8" width="13.5703125" hidden="1" customWidth="1"/>
    <col min="10" max="11" width="14" style="128" customWidth="1"/>
    <col min="12" max="12" width="15.140625" bestFit="1" customWidth="1"/>
  </cols>
  <sheetData>
    <row r="2" spans="2:13" x14ac:dyDescent="0.25">
      <c r="C2" t="s">
        <v>114</v>
      </c>
    </row>
    <row r="4" spans="2:13" x14ac:dyDescent="0.25">
      <c r="B4" s="68"/>
      <c r="C4" s="68" t="s">
        <v>391</v>
      </c>
      <c r="D4" s="68" t="s">
        <v>392</v>
      </c>
      <c r="E4" s="68" t="s">
        <v>393</v>
      </c>
      <c r="F4" s="68"/>
      <c r="G4" s="68" t="s">
        <v>394</v>
      </c>
      <c r="H4" s="68" t="s">
        <v>395</v>
      </c>
      <c r="I4" s="68" t="s">
        <v>396</v>
      </c>
      <c r="J4" s="105" t="s">
        <v>424</v>
      </c>
      <c r="K4" s="153" t="s">
        <v>398</v>
      </c>
    </row>
    <row r="5" spans="2:13" s="107" customFormat="1" ht="140.25" x14ac:dyDescent="0.25">
      <c r="B5" s="30">
        <f>+B4+1</f>
        <v>1</v>
      </c>
      <c r="C5" s="31" t="s">
        <v>425</v>
      </c>
      <c r="D5" s="194" t="s">
        <v>426</v>
      </c>
      <c r="E5" s="31" t="s">
        <v>117</v>
      </c>
      <c r="F5" s="149">
        <v>500</v>
      </c>
      <c r="G5" s="150">
        <f>F5*500</f>
        <v>250000</v>
      </c>
      <c r="H5" s="150"/>
      <c r="I5" s="151">
        <f>+H5/G5</f>
        <v>0</v>
      </c>
      <c r="J5" s="152">
        <v>500</v>
      </c>
      <c r="K5" s="154"/>
      <c r="L5" s="195">
        <f>+J5*500</f>
        <v>250000</v>
      </c>
    </row>
    <row r="6" spans="2:13" s="107" customFormat="1" ht="89.25" x14ac:dyDescent="0.25">
      <c r="B6" s="30">
        <f>+B5+1</f>
        <v>2</v>
      </c>
      <c r="C6" s="31" t="s">
        <v>119</v>
      </c>
      <c r="D6" s="31" t="s">
        <v>427</v>
      </c>
      <c r="E6" s="31" t="s">
        <v>428</v>
      </c>
      <c r="F6" s="35">
        <v>5750</v>
      </c>
      <c r="G6" s="150">
        <f>F6*500</f>
        <v>2875000</v>
      </c>
      <c r="H6" s="150">
        <v>4846899</v>
      </c>
      <c r="I6" s="151">
        <f>+H6/G6</f>
        <v>1.6858779130434782</v>
      </c>
      <c r="J6" s="152">
        <v>20000</v>
      </c>
      <c r="K6" s="154" t="s">
        <v>429</v>
      </c>
      <c r="L6" s="108">
        <f>+J6*500</f>
        <v>10000000</v>
      </c>
      <c r="M6" s="107">
        <f>+F6*1.69</f>
        <v>9717.5</v>
      </c>
    </row>
    <row r="7" spans="2:13" x14ac:dyDescent="0.25">
      <c r="B7" s="68"/>
      <c r="C7" s="68" t="s">
        <v>9</v>
      </c>
      <c r="D7" s="68"/>
      <c r="E7" s="68"/>
      <c r="F7" s="68"/>
      <c r="G7" s="68"/>
      <c r="H7" s="68"/>
      <c r="I7" s="68"/>
      <c r="J7" s="105">
        <f>SUM(J5:J6)</f>
        <v>20500</v>
      </c>
      <c r="K7" s="153"/>
      <c r="L7" s="2">
        <f>+J7*500</f>
        <v>10250000</v>
      </c>
    </row>
    <row r="9" spans="2:13" x14ac:dyDescent="0.25">
      <c r="G9">
        <f>+F6*1.7</f>
        <v>9775</v>
      </c>
    </row>
  </sheetData>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6"/>
  <sheetViews>
    <sheetView workbookViewId="0"/>
  </sheetViews>
  <sheetFormatPr baseColWidth="10" defaultColWidth="11.42578125" defaultRowHeight="15" x14ac:dyDescent="0.25"/>
  <cols>
    <col min="6" max="6" width="16" customWidth="1"/>
    <col min="9" max="9" width="11.42578125" style="2"/>
  </cols>
  <sheetData>
    <row r="2" spans="2:10" x14ac:dyDescent="0.25">
      <c r="B2" t="s">
        <v>122</v>
      </c>
    </row>
    <row r="4" spans="2:10" x14ac:dyDescent="0.25">
      <c r="B4" s="60" t="s">
        <v>391</v>
      </c>
      <c r="C4" s="60" t="s">
        <v>392</v>
      </c>
      <c r="D4" s="60" t="s">
        <v>393</v>
      </c>
      <c r="E4" s="60"/>
      <c r="F4" s="60" t="s">
        <v>394</v>
      </c>
      <c r="G4" s="60" t="s">
        <v>395</v>
      </c>
      <c r="H4" s="60" t="s">
        <v>396</v>
      </c>
      <c r="I4" s="99" t="s">
        <v>424</v>
      </c>
    </row>
    <row r="5" spans="2:10" ht="128.25" x14ac:dyDescent="0.25">
      <c r="B5" s="31" t="s">
        <v>123</v>
      </c>
      <c r="C5" s="29" t="s">
        <v>124</v>
      </c>
      <c r="D5" s="29" t="s">
        <v>126</v>
      </c>
      <c r="E5" s="33">
        <v>3500</v>
      </c>
      <c r="F5" s="70">
        <f>E5*500</f>
        <v>1750000</v>
      </c>
      <c r="G5" s="70">
        <v>807000</v>
      </c>
      <c r="H5" s="65">
        <f>+G5/F5</f>
        <v>0.46114285714285713</v>
      </c>
      <c r="I5" s="148">
        <v>1750</v>
      </c>
      <c r="J5" s="1" t="s">
        <v>430</v>
      </c>
    </row>
    <row r="6" spans="2:10" x14ac:dyDescent="0.25">
      <c r="B6" s="60" t="s">
        <v>9</v>
      </c>
      <c r="C6" s="60"/>
      <c r="D6" s="60"/>
      <c r="E6" s="60"/>
      <c r="F6" s="60"/>
      <c r="G6" s="60"/>
      <c r="H6" s="60"/>
      <c r="I6" s="99">
        <f>SUM(I5)</f>
        <v>1750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4673C04CFF664498C6D230F7DC9002D" ma:contentTypeVersion="14" ma:contentTypeDescription="Create a new document." ma:contentTypeScope="" ma:versionID="b4f9a02662d3b8955ba9de210575397a">
  <xsd:schema xmlns:xsd="http://www.w3.org/2001/XMLSchema" xmlns:xs="http://www.w3.org/2001/XMLSchema" xmlns:p="http://schemas.microsoft.com/office/2006/metadata/properties" xmlns:ns2="aeaaafad-0aeb-47f1-beb2-3e40a0446ae1" xmlns:ns3="794cbd40-fc6d-4c0a-9217-0f6cd4b26116" targetNamespace="http://schemas.microsoft.com/office/2006/metadata/properties" ma:root="true" ma:fieldsID="c25ca4ebd4cc55bbee69c056d2bf5514" ns2:_="" ns3:_="">
    <xsd:import namespace="aeaaafad-0aeb-47f1-beb2-3e40a0446ae1"/>
    <xsd:import namespace="794cbd40-fc6d-4c0a-9217-0f6cd4b2611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EventHashCode" minOccurs="0"/>
                <xsd:element ref="ns2:MediaServiceGenerationTime" minOccurs="0"/>
                <xsd:element ref="ns2:MediaServiceLocation"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aaafad-0aeb-47f1-beb2-3e40a0446a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94cbd40-fc6d-4c0a-9217-0f6cd4b2611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D6C6B7A-07D8-4804-9210-BC5B1D599771}">
  <ds:schemaRefs>
    <ds:schemaRef ds:uri="http://schemas.microsoft.com/sharepoint/v3/contenttype/forms"/>
  </ds:schemaRefs>
</ds:datastoreItem>
</file>

<file path=customXml/itemProps2.xml><?xml version="1.0" encoding="utf-8"?>
<ds:datastoreItem xmlns:ds="http://schemas.openxmlformats.org/officeDocument/2006/customXml" ds:itemID="{FEE161D3-CBD7-4205-907E-A8639791E7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eaaafad-0aeb-47f1-beb2-3e40a0446ae1"/>
    <ds:schemaRef ds:uri="794cbd40-fc6d-4c0a-9217-0f6cd4b261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3A2A2E1-9A66-45FB-818A-471A78F1A63D}">
  <ds:schemaRefs>
    <ds:schemaRef ds:uri="http://schemas.openxmlformats.org/package/2006/metadata/core-properties"/>
    <ds:schemaRef ds:uri="http://purl.org/dc/dcmitype/"/>
    <ds:schemaRef ds:uri="http://schemas.microsoft.com/office/2006/documentManagement/types"/>
    <ds:schemaRef ds:uri="http://purl.org/dc/terms/"/>
    <ds:schemaRef ds:uri="aeaaafad-0aeb-47f1-beb2-3e40a0446ae1"/>
    <ds:schemaRef ds:uri="http://schemas.microsoft.com/office/2006/metadata/properties"/>
    <ds:schemaRef ds:uri="http://purl.org/dc/elements/1.1/"/>
    <ds:schemaRef ds:uri="http://schemas.microsoft.com/office/infopath/2007/PartnerControls"/>
    <ds:schemaRef ds:uri="794cbd40-fc6d-4c0a-9217-0f6cd4b26116"/>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27</vt:i4>
      </vt:variant>
    </vt:vector>
  </HeadingPairs>
  <TitlesOfParts>
    <vt:vector size="27" baseType="lpstr">
      <vt:lpstr>RECAP</vt:lpstr>
      <vt:lpstr>PTBA 2022</vt:lpstr>
      <vt:lpstr>RECAP PTBA 2022</vt:lpstr>
      <vt:lpstr>calcul</vt:lpstr>
      <vt:lpstr>C1</vt:lpstr>
      <vt:lpstr>C1A</vt:lpstr>
      <vt:lpstr>C1B</vt:lpstr>
      <vt:lpstr>C1C</vt:lpstr>
      <vt:lpstr>C1D</vt:lpstr>
      <vt:lpstr>C2</vt:lpstr>
      <vt:lpstr>C2A</vt:lpstr>
      <vt:lpstr>C2B</vt:lpstr>
      <vt:lpstr>C2C</vt:lpstr>
      <vt:lpstr>C3</vt:lpstr>
      <vt:lpstr>C3A</vt:lpstr>
      <vt:lpstr>C3B</vt:lpstr>
      <vt:lpstr>C3C</vt:lpstr>
      <vt:lpstr>C3D</vt:lpstr>
      <vt:lpstr>C3E</vt:lpstr>
      <vt:lpstr>C4</vt:lpstr>
      <vt:lpstr>C4A</vt:lpstr>
      <vt:lpstr>C4B</vt:lpstr>
      <vt:lpstr>C4C</vt:lpstr>
      <vt:lpstr>C4D</vt:lpstr>
      <vt:lpstr>C5</vt:lpstr>
      <vt:lpstr>C5A</vt:lpstr>
      <vt:lpstr>C5B</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Schenineda</dc:creator>
  <cp:keywords/>
  <dc:description/>
  <cp:lastModifiedBy>CERSA</cp:lastModifiedBy>
  <cp:revision/>
  <dcterms:created xsi:type="dcterms:W3CDTF">2020-10-26T16:13:38Z</dcterms:created>
  <dcterms:modified xsi:type="dcterms:W3CDTF">2022-03-23T08:36:14Z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0x01010064673C04CFF664498C6D230F7DC9002D</vt:lpwstr>
  </property>
</Properties>
</file>