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01"/>
  <workbookPr showInkAnnotation="0"/>
  <mc:AlternateContent xmlns:mc="http://schemas.openxmlformats.org/markup-compatibility/2006">
    <mc:Choice Requires="x15">
      <x15ac:absPath xmlns:x15ac="http://schemas.microsoft.com/office/spreadsheetml/2010/11/ac" url="D:\CERSA IMPACT UL\PTBA2022\¨PTBA2023\"/>
    </mc:Choice>
  </mc:AlternateContent>
  <xr:revisionPtr revIDLastSave="0" documentId="13_ncr:1_{76679263-0737-43BA-9A7C-3B99EA3D14DF}" xr6:coauthVersionLast="47" xr6:coauthVersionMax="47" xr10:uidLastSave="{00000000-0000-0000-0000-000000000000}"/>
  <bookViews>
    <workbookView xWindow="-120" yWindow="-120" windowWidth="20730" windowHeight="11160" firstSheet="1" activeTab="1" xr2:uid="{00000000-000D-0000-FFFF-FFFF00000000}"/>
  </bookViews>
  <sheets>
    <sheet name="PTBA 2023 (2)" sheetId="29" state="hidden" r:id="rId1"/>
    <sheet name="RECAP 2023 revu" sheetId="31" r:id="rId2"/>
    <sheet name="PTBA 2023 revu" sheetId="30" r:id="rId3"/>
    <sheet name="Feuil1" sheetId="32" r:id="rId4"/>
    <sheet name="RECAP" sheetId="28" state="hidden" r:id="rId5"/>
    <sheet name="PTBA 2023" sheetId="1" state="hidden" r:id="rId6"/>
    <sheet name="RECAP PTBA 2022" sheetId="2" state="hidden" r:id="rId7"/>
    <sheet name="calcul" sheetId="3" state="hidden" r:id="rId8"/>
    <sheet name="C1" sheetId="4" state="hidden" r:id="rId9"/>
    <sheet name="C1A" sheetId="5" state="hidden" r:id="rId10"/>
    <sheet name="C1B" sheetId="6" state="hidden" r:id="rId11"/>
    <sheet name="C1C" sheetId="7" state="hidden" r:id="rId12"/>
    <sheet name="C1D" sheetId="8" state="hidden" r:id="rId13"/>
    <sheet name="C2" sheetId="14" state="hidden" r:id="rId14"/>
    <sheet name="C2A" sheetId="15" state="hidden" r:id="rId15"/>
    <sheet name="C2B" sheetId="16" state="hidden" r:id="rId16"/>
    <sheet name="C2C" sheetId="17" state="hidden" r:id="rId17"/>
    <sheet name="C3" sheetId="9" state="hidden" r:id="rId18"/>
    <sheet name="C3A" sheetId="10" state="hidden" r:id="rId19"/>
    <sheet name="C3B" sheetId="11" state="hidden" r:id="rId20"/>
    <sheet name="C3C" sheetId="13" state="hidden" r:id="rId21"/>
    <sheet name="C3D" sheetId="18" state="hidden" r:id="rId22"/>
    <sheet name="C3E" sheetId="19" state="hidden" r:id="rId23"/>
    <sheet name="C4" sheetId="20" state="hidden" r:id="rId24"/>
    <sheet name="C4A" sheetId="21" state="hidden" r:id="rId25"/>
    <sheet name="C4B" sheetId="22" state="hidden" r:id="rId26"/>
    <sheet name="C4C" sheetId="23" state="hidden" r:id="rId27"/>
    <sheet name="C4D" sheetId="24" state="hidden" r:id="rId28"/>
    <sheet name="C5" sheetId="25" state="hidden" r:id="rId29"/>
    <sheet name="C5A" sheetId="26" state="hidden" r:id="rId30"/>
    <sheet name="C5B" sheetId="27" state="hidden" r:id="rId3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X10" i="30" l="1"/>
  <c r="A8" i="32"/>
  <c r="B8" i="32"/>
  <c r="C8" i="32"/>
  <c r="C10" i="32"/>
  <c r="C9" i="32"/>
  <c r="Y96" i="30" l="1"/>
  <c r="D5" i="31"/>
  <c r="X36" i="30"/>
  <c r="X42" i="30" l="1"/>
  <c r="D7" i="31"/>
  <c r="X87" i="30" l="1"/>
  <c r="X85" i="30"/>
  <c r="X90" i="30" l="1"/>
  <c r="Y15" i="30" l="1"/>
  <c r="X93" i="30"/>
  <c r="X91" i="30"/>
  <c r="X84" i="30"/>
  <c r="X82" i="30"/>
  <c r="X81" i="30"/>
  <c r="X79" i="30"/>
  <c r="X78" i="30"/>
  <c r="X70" i="30"/>
  <c r="X71" i="30"/>
  <c r="X72" i="30"/>
  <c r="X73" i="30"/>
  <c r="X74" i="30"/>
  <c r="X75" i="30"/>
  <c r="X62" i="30"/>
  <c r="X63" i="30"/>
  <c r="X64" i="30"/>
  <c r="X65" i="30"/>
  <c r="X66" i="30"/>
  <c r="X67" i="30"/>
  <c r="X61" i="30"/>
  <c r="X59" i="30"/>
  <c r="X58" i="30"/>
  <c r="X57" i="30"/>
  <c r="X56" i="30"/>
  <c r="X55" i="30"/>
  <c r="X53" i="30"/>
  <c r="X48" i="30"/>
  <c r="X49" i="30"/>
  <c r="X50" i="30"/>
  <c r="X51" i="30"/>
  <c r="X47" i="30"/>
  <c r="X44" i="30"/>
  <c r="X39" i="30"/>
  <c r="X40" i="30"/>
  <c r="X41" i="30"/>
  <c r="X38" i="30"/>
  <c r="X33" i="30"/>
  <c r="X31" i="30"/>
  <c r="X11" i="30"/>
  <c r="X12" i="30"/>
  <c r="X13" i="30"/>
  <c r="X14" i="30"/>
  <c r="X15" i="30"/>
  <c r="X16" i="30"/>
  <c r="X17" i="30"/>
  <c r="X18" i="30"/>
  <c r="X20" i="30"/>
  <c r="X21" i="30"/>
  <c r="X22" i="30"/>
  <c r="X23" i="30"/>
  <c r="X24" i="30"/>
  <c r="X25" i="30"/>
  <c r="X26" i="30"/>
  <c r="X27" i="30"/>
  <c r="C7" i="31"/>
  <c r="C5" i="31"/>
  <c r="A94" i="30"/>
  <c r="A90" i="30"/>
  <c r="A91" i="30" s="1"/>
  <c r="A84" i="30"/>
  <c r="A85" i="30" s="1"/>
  <c r="A78" i="30"/>
  <c r="A79" i="30" s="1"/>
  <c r="Y29" i="30"/>
  <c r="X29" i="30" s="1"/>
  <c r="A36" i="30"/>
  <c r="Y94" i="30"/>
  <c r="D8" i="31" s="1"/>
  <c r="C8" i="31" s="1"/>
  <c r="A81" i="30"/>
  <c r="A82" i="30" s="1"/>
  <c r="Y69" i="30"/>
  <c r="X69" i="30" s="1"/>
  <c r="A69" i="30"/>
  <c r="A70" i="30" s="1"/>
  <c r="A71" i="30" s="1"/>
  <c r="A72" i="30" s="1"/>
  <c r="A73" i="30" s="1"/>
  <c r="A74" i="30" s="1"/>
  <c r="A75" i="30" s="1"/>
  <c r="A62" i="30"/>
  <c r="A63" i="30" s="1"/>
  <c r="A64" i="30" s="1"/>
  <c r="A65" i="30" s="1"/>
  <c r="A66" i="30" s="1"/>
  <c r="A67" i="30" s="1"/>
  <c r="A55" i="30"/>
  <c r="A56" i="30" s="1"/>
  <c r="A57" i="30" s="1"/>
  <c r="A58" i="30" s="1"/>
  <c r="A59" i="30" s="1"/>
  <c r="A53" i="30"/>
  <c r="A47" i="30"/>
  <c r="A48" i="30" s="1"/>
  <c r="A49" i="30" s="1"/>
  <c r="A50" i="30" s="1"/>
  <c r="A51" i="30" s="1"/>
  <c r="A44" i="30"/>
  <c r="A38" i="30"/>
  <c r="A39" i="30" s="1"/>
  <c r="A40" i="30" s="1"/>
  <c r="A41" i="30" s="1"/>
  <c r="A42" i="30" s="1"/>
  <c r="A33" i="30"/>
  <c r="A31" i="30"/>
  <c r="A29" i="30"/>
  <c r="Y19" i="30"/>
  <c r="X19" i="30" s="1"/>
  <c r="A11" i="30"/>
  <c r="A12" i="30" s="1"/>
  <c r="A13" i="30" s="1"/>
  <c r="A14" i="30" s="1"/>
  <c r="A15" i="30" s="1"/>
  <c r="A16" i="30" s="1"/>
  <c r="A17" i="30" s="1"/>
  <c r="A18" i="30" s="1"/>
  <c r="A19" i="30" s="1"/>
  <c r="A20" i="30" s="1"/>
  <c r="A21" i="30" s="1"/>
  <c r="A22" i="30" s="1"/>
  <c r="A23" i="30" s="1"/>
  <c r="A24" i="30" s="1"/>
  <c r="A25" i="30" s="1"/>
  <c r="A26" i="30" s="1"/>
  <c r="A27" i="30" s="1"/>
  <c r="AA112" i="1"/>
  <c r="AA74" i="1"/>
  <c r="C9" i="31" l="1"/>
  <c r="D4" i="31"/>
  <c r="C4" i="31" s="1"/>
  <c r="D6" i="31"/>
  <c r="C6" i="31" s="1"/>
  <c r="X94" i="30"/>
  <c r="C8" i="28"/>
  <c r="C5" i="28"/>
  <c r="Y110" i="1"/>
  <c r="Y111" i="1"/>
  <c r="Y112" i="1"/>
  <c r="Y109" i="1"/>
  <c r="Y105" i="1"/>
  <c r="Y106" i="1"/>
  <c r="Y107" i="1"/>
  <c r="Y104" i="1"/>
  <c r="Y101" i="1"/>
  <c r="Y97" i="1"/>
  <c r="Y98" i="1"/>
  <c r="Y96" i="1"/>
  <c r="Y94" i="1"/>
  <c r="Y93" i="1"/>
  <c r="Y84" i="1"/>
  <c r="Y85" i="1"/>
  <c r="Y86" i="1"/>
  <c r="Y87" i="1"/>
  <c r="Y88" i="1"/>
  <c r="Y89" i="1"/>
  <c r="Y90" i="1"/>
  <c r="Y91" i="1"/>
  <c r="Y83" i="1"/>
  <c r="Y75" i="1"/>
  <c r="Y76" i="1"/>
  <c r="Y77" i="1"/>
  <c r="Y78" i="1"/>
  <c r="Y79" i="1"/>
  <c r="Y74" i="1"/>
  <c r="Y67" i="1"/>
  <c r="Y68" i="1"/>
  <c r="Y69" i="1"/>
  <c r="Y70" i="1"/>
  <c r="Y71" i="1"/>
  <c r="Y72" i="1"/>
  <c r="Y66" i="1"/>
  <c r="Y61" i="1"/>
  <c r="Y62" i="1"/>
  <c r="Y63" i="1"/>
  <c r="Y64" i="1"/>
  <c r="Y60" i="1"/>
  <c r="Y58" i="1"/>
  <c r="Y57" i="1"/>
  <c r="Y52" i="1"/>
  <c r="Y53" i="1"/>
  <c r="Y54" i="1"/>
  <c r="Y55" i="1"/>
  <c r="Y51" i="1"/>
  <c r="Y48" i="1"/>
  <c r="Y44" i="1"/>
  <c r="Y45" i="1"/>
  <c r="Y46" i="1"/>
  <c r="Y43" i="1"/>
  <c r="Y41" i="1"/>
  <c r="Y39" i="1"/>
  <c r="Y40" i="1"/>
  <c r="Y38" i="1"/>
  <c r="Y35" i="1"/>
  <c r="Y33" i="1"/>
  <c r="Y32" i="1"/>
  <c r="Y30" i="1"/>
  <c r="Y29" i="1"/>
  <c r="D9" i="31" l="1"/>
  <c r="E9" i="31" s="1"/>
  <c r="C7" i="28"/>
  <c r="C6" i="28"/>
  <c r="AA19" i="1"/>
  <c r="AA15" i="1"/>
  <c r="AA13" i="1"/>
  <c r="C4" i="28" s="1"/>
  <c r="C9" i="28" s="1"/>
  <c r="Y11" i="1"/>
  <c r="Y12" i="1"/>
  <c r="Y13" i="1"/>
  <c r="Y14" i="1"/>
  <c r="Y15" i="1"/>
  <c r="Y16" i="1"/>
  <c r="Y17" i="1"/>
  <c r="Y18" i="1"/>
  <c r="Y19" i="1"/>
  <c r="Y20" i="1"/>
  <c r="Y21" i="1"/>
  <c r="Y22" i="1"/>
  <c r="Y23" i="1"/>
  <c r="Y24" i="1"/>
  <c r="Y25" i="1"/>
  <c r="Y26" i="1"/>
  <c r="Y27" i="1"/>
  <c r="Y10" i="1"/>
  <c r="X112" i="29"/>
  <c r="Z110" i="29"/>
  <c r="A108" i="29"/>
  <c r="A109" i="29" s="1"/>
  <c r="A110" i="29" s="1"/>
  <c r="A107" i="29"/>
  <c r="A102" i="29"/>
  <c r="A103" i="29" s="1"/>
  <c r="A104" i="29" s="1"/>
  <c r="A105" i="29" s="1"/>
  <c r="A99" i="29"/>
  <c r="A97" i="29"/>
  <c r="A96" i="29"/>
  <c r="A95" i="29"/>
  <c r="A92" i="29"/>
  <c r="A93" i="29" s="1"/>
  <c r="A82" i="29"/>
  <c r="A83" i="29" s="1"/>
  <c r="A84" i="29" s="1"/>
  <c r="A85" i="29" s="1"/>
  <c r="A86" i="29" s="1"/>
  <c r="A87" i="29" s="1"/>
  <c r="A88" i="29" s="1"/>
  <c r="A89" i="29" s="1"/>
  <c r="A90" i="29" s="1"/>
  <c r="A74" i="29"/>
  <c r="A75" i="29" s="1"/>
  <c r="A76" i="29" s="1"/>
  <c r="A77" i="29" s="1"/>
  <c r="A78" i="29" s="1"/>
  <c r="A79" i="29" s="1"/>
  <c r="A67" i="29"/>
  <c r="A68" i="29" s="1"/>
  <c r="A69" i="29" s="1"/>
  <c r="A70" i="29" s="1"/>
  <c r="A71" i="29" s="1"/>
  <c r="A72" i="29" s="1"/>
  <c r="A60" i="29"/>
  <c r="A61" i="29" s="1"/>
  <c r="A62" i="29" s="1"/>
  <c r="A63" i="29" s="1"/>
  <c r="A64" i="29" s="1"/>
  <c r="A57" i="29"/>
  <c r="A58" i="29" s="1"/>
  <c r="A51" i="29"/>
  <c r="A52" i="29" s="1"/>
  <c r="A53" i="29" s="1"/>
  <c r="A54" i="29" s="1"/>
  <c r="A55" i="29" s="1"/>
  <c r="A48" i="29"/>
  <c r="A44" i="29"/>
  <c r="A45" i="29" s="1"/>
  <c r="A46" i="29" s="1"/>
  <c r="A43" i="29"/>
  <c r="A38" i="29"/>
  <c r="A39" i="29" s="1"/>
  <c r="A40" i="29" s="1"/>
  <c r="A41" i="29" s="1"/>
  <c r="A35" i="29"/>
  <c r="A32" i="29"/>
  <c r="A33" i="29" s="1"/>
  <c r="A29" i="29"/>
  <c r="A30" i="29" s="1"/>
  <c r="A11" i="29"/>
  <c r="A12" i="29" s="1"/>
  <c r="A13" i="29" s="1"/>
  <c r="A14" i="29" s="1"/>
  <c r="A15" i="29" s="1"/>
  <c r="A16" i="29" s="1"/>
  <c r="A17" i="29" s="1"/>
  <c r="A18" i="29" s="1"/>
  <c r="A19" i="29" s="1"/>
  <c r="A20" i="29" s="1"/>
  <c r="A21" i="29" s="1"/>
  <c r="A22" i="29" s="1"/>
  <c r="A23" i="29" s="1"/>
  <c r="A24" i="29" s="1"/>
  <c r="A25" i="29" s="1"/>
  <c r="A26" i="29" s="1"/>
  <c r="A27" i="29" s="1"/>
  <c r="Z112" i="1"/>
  <c r="Y117" i="1" s="1"/>
  <c r="E6" i="31" l="1"/>
  <c r="E5" i="31"/>
  <c r="E4" i="31"/>
  <c r="E8" i="31"/>
  <c r="E7" i="31"/>
  <c r="X114" i="1"/>
  <c r="E6" i="28" l="1"/>
  <c r="D5" i="28"/>
  <c r="D6" i="28"/>
  <c r="D7" i="28"/>
  <c r="D8" i="28"/>
  <c r="E7" i="28" l="1"/>
  <c r="E5" i="28"/>
  <c r="E8" i="28"/>
  <c r="E9" i="28"/>
  <c r="D9" i="28"/>
  <c r="E4" i="28"/>
  <c r="A109" i="1"/>
  <c r="A96" i="1"/>
  <c r="A93" i="1"/>
  <c r="J9" i="27" l="1"/>
  <c r="J11" i="27"/>
  <c r="J12" i="21"/>
  <c r="K10" i="21"/>
  <c r="L10" i="21" s="1"/>
  <c r="M10" i="5"/>
  <c r="I17" i="21" l="1"/>
  <c r="B5" i="23"/>
  <c r="J5" i="22"/>
  <c r="I5" i="16" l="1"/>
  <c r="J6" i="13" l="1"/>
  <c r="I8" i="10"/>
  <c r="I7" i="10"/>
  <c r="I10" i="10" s="1"/>
  <c r="J12" i="27"/>
  <c r="J11" i="18"/>
  <c r="J8" i="18"/>
  <c r="J10" i="18"/>
  <c r="J7" i="18"/>
  <c r="J6" i="18"/>
  <c r="K9" i="18"/>
  <c r="J12" i="18" l="1"/>
  <c r="I9" i="26"/>
  <c r="K8" i="26"/>
  <c r="K7" i="26"/>
  <c r="L5" i="24"/>
  <c r="L7" i="23"/>
  <c r="M6" i="23"/>
  <c r="M5" i="23"/>
  <c r="A6" i="21" l="1"/>
  <c r="A7" i="21" s="1"/>
  <c r="A8" i="21" l="1"/>
  <c r="A10" i="21" s="1"/>
  <c r="A11" i="21" s="1"/>
  <c r="A12" i="21" s="1"/>
  <c r="A13" i="21" s="1"/>
  <c r="A14" i="21" s="1"/>
  <c r="A15" i="21" s="1"/>
  <c r="A16" i="21" s="1"/>
  <c r="L9" i="19"/>
  <c r="M8" i="19"/>
  <c r="J10" i="19"/>
  <c r="L7" i="19"/>
  <c r="L6" i="19"/>
  <c r="L5" i="19"/>
  <c r="F11" i="13"/>
  <c r="L10" i="13"/>
  <c r="L6" i="16" l="1"/>
  <c r="M5" i="5" l="1"/>
  <c r="O5" i="5" s="1"/>
  <c r="K7" i="5"/>
  <c r="M7" i="5" s="1"/>
  <c r="M6" i="7" l="1"/>
  <c r="L6" i="7"/>
  <c r="L5" i="7"/>
  <c r="J23" i="5" l="1"/>
  <c r="N22" i="5"/>
  <c r="M21" i="5"/>
  <c r="N21" i="5" s="1"/>
  <c r="M18" i="5"/>
  <c r="M16" i="5"/>
  <c r="N16" i="5" s="1"/>
  <c r="M15" i="5"/>
  <c r="P14" i="5"/>
  <c r="O14" i="5"/>
  <c r="T13" i="5"/>
  <c r="S13" i="5"/>
  <c r="O11" i="5"/>
  <c r="P11" i="5" s="1"/>
  <c r="G8" i="5"/>
  <c r="L7" i="16" l="1"/>
  <c r="M7" i="16" s="1"/>
  <c r="N8" i="27"/>
  <c r="M9" i="27"/>
  <c r="M8" i="27"/>
  <c r="M7" i="27"/>
  <c r="M6" i="27"/>
  <c r="K6" i="26"/>
  <c r="K5" i="26"/>
  <c r="K8" i="21"/>
  <c r="K6" i="23"/>
  <c r="K7" i="19"/>
  <c r="K8" i="19"/>
  <c r="K9" i="19"/>
  <c r="K6" i="19"/>
  <c r="N19" i="5"/>
  <c r="M6" i="16"/>
  <c r="L6" i="15" l="1"/>
  <c r="L7" i="15"/>
  <c r="L8" i="15"/>
  <c r="N8" i="15" s="1"/>
  <c r="L5" i="15"/>
  <c r="G9" i="7"/>
  <c r="K6" i="6"/>
  <c r="M6" i="6"/>
  <c r="L5" i="6"/>
  <c r="M5" i="6" s="1"/>
  <c r="K5" i="6"/>
  <c r="N20" i="5"/>
  <c r="M17" i="5"/>
  <c r="N17" i="5" s="1"/>
  <c r="M14" i="5" l="1"/>
  <c r="N14" i="5" s="1"/>
  <c r="P13" i="5"/>
  <c r="L12" i="5"/>
  <c r="N12" i="5"/>
  <c r="N11" i="5"/>
  <c r="N10" i="5"/>
  <c r="L6" i="5"/>
  <c r="L7" i="5"/>
  <c r="L8" i="5"/>
  <c r="L9" i="5"/>
  <c r="L11" i="5"/>
  <c r="L13" i="5"/>
  <c r="L14" i="5"/>
  <c r="L15" i="5"/>
  <c r="L16" i="5"/>
  <c r="L17" i="5"/>
  <c r="L18" i="5"/>
  <c r="L19" i="5"/>
  <c r="L20" i="5"/>
  <c r="L21" i="5"/>
  <c r="L22" i="5"/>
  <c r="L5" i="5"/>
  <c r="J7" i="7"/>
  <c r="L7" i="7" s="1"/>
  <c r="D6" i="4"/>
  <c r="J7" i="6"/>
  <c r="D7" i="4" s="1"/>
  <c r="I6" i="8"/>
  <c r="D9" i="4" s="1"/>
  <c r="I9" i="15"/>
  <c r="I8" i="16"/>
  <c r="C5" i="14" s="1"/>
  <c r="J6" i="17"/>
  <c r="C6" i="14" s="1"/>
  <c r="C5" i="9"/>
  <c r="J7" i="11"/>
  <c r="C6" i="9" s="1"/>
  <c r="J11" i="13"/>
  <c r="C7" i="9" s="1"/>
  <c r="C8" i="9"/>
  <c r="C9" i="9"/>
  <c r="J7" i="24"/>
  <c r="C8" i="20"/>
  <c r="C5" i="20"/>
  <c r="A6" i="22"/>
  <c r="I7" i="22"/>
  <c r="C6" i="20" s="1"/>
  <c r="J8" i="23"/>
  <c r="C7" i="20" s="1"/>
  <c r="C6" i="25"/>
  <c r="C5" i="25"/>
  <c r="G6" i="27"/>
  <c r="I6" i="27" s="1"/>
  <c r="G7" i="27"/>
  <c r="I7" i="27" s="1"/>
  <c r="G8" i="27"/>
  <c r="I8" i="27" s="1"/>
  <c r="G9" i="27"/>
  <c r="I9" i="27" s="1"/>
  <c r="G10" i="27"/>
  <c r="I10" i="27" s="1"/>
  <c r="G5" i="27"/>
  <c r="I5" i="27" s="1"/>
  <c r="B6" i="27"/>
  <c r="B7" i="27" s="1"/>
  <c r="B8" i="27" s="1"/>
  <c r="B9" i="27" s="1"/>
  <c r="B10" i="27" s="1"/>
  <c r="F6" i="26"/>
  <c r="H6" i="26" s="1"/>
  <c r="F5" i="26"/>
  <c r="H5" i="26"/>
  <c r="G6" i="24"/>
  <c r="I6" i="24" s="1"/>
  <c r="G5" i="24"/>
  <c r="I5" i="24" s="1"/>
  <c r="B5" i="24"/>
  <c r="B6" i="24" s="1"/>
  <c r="G5" i="23"/>
  <c r="I5" i="23" s="1"/>
  <c r="G6" i="23"/>
  <c r="I6" i="23" s="1"/>
  <c r="G7" i="23"/>
  <c r="I7" i="23" s="1"/>
  <c r="B6" i="23"/>
  <c r="B7" i="23" s="1"/>
  <c r="F5" i="22"/>
  <c r="H5" i="22" s="1"/>
  <c r="F6" i="22"/>
  <c r="H6" i="22" s="1"/>
  <c r="F6" i="21"/>
  <c r="H6" i="21" s="1"/>
  <c r="F7" i="21"/>
  <c r="H7" i="21" s="1"/>
  <c r="F5" i="21"/>
  <c r="H5" i="21" s="1"/>
  <c r="G6" i="19"/>
  <c r="I6" i="19" s="1"/>
  <c r="G7" i="19"/>
  <c r="I7" i="19" s="1"/>
  <c r="G8" i="19"/>
  <c r="I8" i="19" s="1"/>
  <c r="G9" i="19"/>
  <c r="G5" i="19"/>
  <c r="I5" i="19" s="1"/>
  <c r="B6" i="19"/>
  <c r="B7" i="19" s="1"/>
  <c r="B8" i="19" s="1"/>
  <c r="B9" i="19" s="1"/>
  <c r="G6" i="18"/>
  <c r="I6" i="18" s="1"/>
  <c r="G7" i="18"/>
  <c r="I7" i="18" s="1"/>
  <c r="G8" i="18"/>
  <c r="I8" i="18" s="1"/>
  <c r="G5" i="18"/>
  <c r="I5" i="18" s="1"/>
  <c r="B6" i="18"/>
  <c r="B7" i="18" s="1"/>
  <c r="B8" i="18" s="1"/>
  <c r="B9" i="18" s="1"/>
  <c r="B10" i="18" s="1"/>
  <c r="B11" i="18" s="1"/>
  <c r="G6" i="13"/>
  <c r="I6" i="13" s="1"/>
  <c r="G7" i="13"/>
  <c r="I7" i="13" s="1"/>
  <c r="G8" i="13"/>
  <c r="I8" i="13" s="1"/>
  <c r="G9" i="13"/>
  <c r="I9" i="13" s="1"/>
  <c r="G10" i="13"/>
  <c r="I10" i="13" s="1"/>
  <c r="G5" i="13"/>
  <c r="I5" i="13" s="1"/>
  <c r="B6" i="13"/>
  <c r="B7" i="13" s="1"/>
  <c r="B8" i="13" s="1"/>
  <c r="B9" i="13" s="1"/>
  <c r="B10" i="13" s="1"/>
  <c r="G6" i="11"/>
  <c r="I6" i="11" s="1"/>
  <c r="G5" i="11"/>
  <c r="I5" i="11" s="1"/>
  <c r="G5" i="17"/>
  <c r="I5" i="17" s="1"/>
  <c r="B5" i="17"/>
  <c r="F6" i="16"/>
  <c r="H6" i="16" s="1"/>
  <c r="F7" i="16"/>
  <c r="H7" i="16" s="1"/>
  <c r="F5" i="16"/>
  <c r="H5" i="16" s="1"/>
  <c r="A6" i="16"/>
  <c r="A7" i="16" s="1"/>
  <c r="F6" i="15"/>
  <c r="H6" i="15" s="1"/>
  <c r="F7" i="15"/>
  <c r="H7" i="15" s="1"/>
  <c r="F8" i="15"/>
  <c r="H8" i="15" s="1"/>
  <c r="F5" i="15"/>
  <c r="H5" i="15"/>
  <c r="F6" i="10"/>
  <c r="H6" i="10" s="1"/>
  <c r="F7" i="10"/>
  <c r="H7" i="10" s="1"/>
  <c r="F8" i="10"/>
  <c r="H8" i="10" s="1"/>
  <c r="F5" i="10"/>
  <c r="H5" i="10" s="1"/>
  <c r="A6" i="10"/>
  <c r="A7" i="10" s="1"/>
  <c r="A8" i="10" s="1"/>
  <c r="F5" i="8"/>
  <c r="H5" i="8" s="1"/>
  <c r="G6" i="7"/>
  <c r="I6" i="7" s="1"/>
  <c r="G5" i="7"/>
  <c r="I5" i="7" s="1"/>
  <c r="B5" i="7"/>
  <c r="B6" i="7" s="1"/>
  <c r="D8" i="4" l="1"/>
  <c r="I9" i="19"/>
  <c r="M9" i="19"/>
  <c r="N9" i="19" s="1"/>
  <c r="T14" i="5"/>
  <c r="U14" i="5" s="1"/>
  <c r="Q13" i="5"/>
  <c r="R13" i="5" s="1"/>
  <c r="D10" i="4"/>
  <c r="C4" i="2" s="1"/>
  <c r="C4" i="14"/>
  <c r="C7" i="14" s="1"/>
  <c r="C5" i="2" s="1"/>
  <c r="L9" i="15"/>
  <c r="C7" i="25"/>
  <c r="C8" i="2" s="1"/>
  <c r="C9" i="20"/>
  <c r="C7" i="2" s="1"/>
  <c r="C10" i="9"/>
  <c r="C6" i="2" s="1"/>
  <c r="G6" i="6"/>
  <c r="I6" i="6" s="1"/>
  <c r="G5" i="6"/>
  <c r="I5" i="6" s="1"/>
  <c r="B5" i="6"/>
  <c r="B6" i="6" s="1"/>
  <c r="G6" i="5"/>
  <c r="I6" i="5" s="1"/>
  <c r="G7" i="5"/>
  <c r="I8" i="5"/>
  <c r="G9" i="5"/>
  <c r="I9" i="5" s="1"/>
  <c r="G10" i="5"/>
  <c r="I10" i="5" s="1"/>
  <c r="G11" i="5"/>
  <c r="I11" i="5" s="1"/>
  <c r="G12" i="5"/>
  <c r="I12" i="5" s="1"/>
  <c r="G13" i="5"/>
  <c r="G14" i="5"/>
  <c r="I14" i="5" s="1"/>
  <c r="G15" i="5"/>
  <c r="I15" i="5" s="1"/>
  <c r="G16" i="5"/>
  <c r="I16" i="5" s="1"/>
  <c r="G17" i="5"/>
  <c r="I17" i="5" s="1"/>
  <c r="G18" i="5"/>
  <c r="I18" i="5" s="1"/>
  <c r="G19" i="5"/>
  <c r="I19" i="5" s="1"/>
  <c r="G21" i="5"/>
  <c r="I21" i="5" s="1"/>
  <c r="G22" i="5"/>
  <c r="I22" i="5" s="1"/>
  <c r="G5" i="5"/>
  <c r="F20" i="5"/>
  <c r="G20" i="5" s="1"/>
  <c r="I13" i="5"/>
  <c r="I7" i="5"/>
  <c r="B6" i="5"/>
  <c r="B7" i="5" s="1"/>
  <c r="B8" i="5" s="1"/>
  <c r="B9" i="5" s="1"/>
  <c r="B10" i="5" s="1"/>
  <c r="B11" i="5" s="1"/>
  <c r="B12" i="5" s="1"/>
  <c r="B13" i="5" s="1"/>
  <c r="B14" i="5" s="1"/>
  <c r="B15" i="5" s="1"/>
  <c r="B16" i="5" s="1"/>
  <c r="B17" i="5" s="1"/>
  <c r="B18" i="5" s="1"/>
  <c r="B19" i="5" s="1"/>
  <c r="B20" i="5" s="1"/>
  <c r="B21" i="5" s="1"/>
  <c r="B22" i="5" s="1"/>
  <c r="I5" i="5"/>
  <c r="I20" i="5" l="1"/>
  <c r="F10" i="4" l="1"/>
  <c r="J44" i="3" l="1"/>
  <c r="K44" i="3" s="1"/>
  <c r="J39" i="3"/>
  <c r="J38" i="3"/>
  <c r="J37" i="3"/>
  <c r="C56" i="3"/>
  <c r="C58" i="3" s="1"/>
  <c r="C59" i="3" s="1"/>
  <c r="D59" i="3" s="1"/>
  <c r="A37" i="3"/>
  <c r="A38" i="3" s="1"/>
  <c r="A39" i="3" s="1"/>
  <c r="A40" i="3" s="1"/>
  <c r="A41" i="3" s="1"/>
  <c r="A42" i="3" s="1"/>
  <c r="A44" i="3" s="1"/>
  <c r="A45" i="3" s="1"/>
  <c r="A46" i="3" s="1"/>
  <c r="A47" i="3" s="1"/>
  <c r="A48" i="3" s="1"/>
  <c r="A49" i="3" s="1"/>
  <c r="A50" i="3" s="1"/>
  <c r="D31" i="3"/>
  <c r="D32" i="3"/>
  <c r="A38" i="1"/>
  <c r="A39" i="1" s="1"/>
  <c r="A40" i="1" s="1"/>
  <c r="C9" i="2" l="1"/>
  <c r="D34" i="3"/>
  <c r="E34" i="3" s="1"/>
  <c r="J40" i="3"/>
  <c r="K40" i="3" s="1"/>
  <c r="K41" i="3" s="1"/>
  <c r="L41" i="3" s="1"/>
  <c r="A74" i="1"/>
  <c r="A75" i="1" s="1"/>
  <c r="A76" i="1" s="1"/>
  <c r="A77" i="1" s="1"/>
  <c r="A78" i="1" s="1"/>
  <c r="A79" i="1" s="1"/>
  <c r="D6" i="2" l="1"/>
  <c r="C24" i="3"/>
  <c r="D24" i="3" s="1"/>
  <c r="D9" i="3" l="1"/>
  <c r="E18" i="3" l="1"/>
  <c r="E17" i="3"/>
  <c r="D18" i="3"/>
  <c r="D17" i="3"/>
  <c r="E10" i="3"/>
  <c r="D10" i="3"/>
  <c r="E8" i="3"/>
  <c r="D8" i="3"/>
  <c r="H18" i="3"/>
  <c r="G18" i="3"/>
  <c r="H17" i="3"/>
  <c r="G17" i="3"/>
  <c r="H10" i="3"/>
  <c r="G10" i="3"/>
  <c r="H8" i="3"/>
  <c r="G8" i="3"/>
  <c r="F18" i="3"/>
  <c r="F17" i="3"/>
  <c r="F10" i="3"/>
  <c r="F8" i="3"/>
  <c r="C19" i="3"/>
  <c r="H19" i="3" s="1"/>
  <c r="B19" i="3"/>
  <c r="D19" i="3" s="1"/>
  <c r="C11" i="3"/>
  <c r="B11" i="3"/>
  <c r="D8" i="2"/>
  <c r="D7" i="2"/>
  <c r="D5" i="2"/>
  <c r="D4" i="2"/>
  <c r="A5" i="2"/>
  <c r="A6" i="2" s="1"/>
  <c r="A7" i="2" s="1"/>
  <c r="A8" i="2" s="1"/>
  <c r="A67" i="1"/>
  <c r="A68" i="1" s="1"/>
  <c r="A69" i="1" s="1"/>
  <c r="A70" i="1" s="1"/>
  <c r="A71" i="1" s="1"/>
  <c r="A72" i="1" s="1"/>
  <c r="H11" i="3" l="1"/>
  <c r="E11" i="3"/>
  <c r="C20" i="3"/>
  <c r="F20" i="3" s="1"/>
  <c r="G19" i="3"/>
  <c r="H20" i="3" s="1"/>
  <c r="G11" i="3"/>
  <c r="H13" i="3" s="1"/>
  <c r="D11" i="3"/>
  <c r="F19" i="3"/>
  <c r="E19" i="3"/>
  <c r="E20" i="3" s="1"/>
  <c r="F11" i="3"/>
  <c r="C13" i="3"/>
  <c r="F13" i="3" s="1"/>
  <c r="D9" i="2"/>
  <c r="A101" i="1"/>
  <c r="E13" i="3" l="1"/>
  <c r="I20" i="3"/>
  <c r="J20" i="3" s="1"/>
  <c r="F9" i="2"/>
  <c r="F8" i="2"/>
  <c r="F5" i="2"/>
  <c r="F4" i="2"/>
  <c r="F7" i="2"/>
  <c r="F6" i="2"/>
  <c r="I13" i="3"/>
  <c r="A104" i="1"/>
  <c r="J13" i="3" l="1"/>
  <c r="I21" i="3"/>
  <c r="I22" i="3" s="1"/>
  <c r="A94" i="1"/>
  <c r="A32" i="1"/>
  <c r="A33" i="1" s="1"/>
  <c r="A35" i="1" s="1"/>
  <c r="A41" i="1" s="1"/>
  <c r="A43" i="1" s="1"/>
  <c r="A44" i="1" s="1"/>
  <c r="A45" i="1" s="1"/>
  <c r="A46" i="1" s="1"/>
  <c r="A11" i="1"/>
  <c r="A12" i="1" s="1"/>
  <c r="A13" i="1" s="1"/>
  <c r="A14" i="1" s="1"/>
  <c r="A15" i="1" s="1"/>
  <c r="A16" i="1" s="1"/>
  <c r="A17" i="1" s="1"/>
  <c r="A18" i="1" s="1"/>
  <c r="A19" i="1" s="1"/>
  <c r="A20" i="1" s="1"/>
  <c r="A21" i="1" s="1"/>
  <c r="A48" i="1" l="1"/>
  <c r="A51" i="1" s="1"/>
  <c r="A52" i="1" s="1"/>
  <c r="A53" i="1" s="1"/>
  <c r="A54" i="1" s="1"/>
  <c r="A55" i="1" s="1"/>
  <c r="A22" i="1"/>
  <c r="A23" i="1" s="1"/>
  <c r="A24" i="1" s="1"/>
  <c r="A25" i="1" s="1"/>
  <c r="A26" i="1" s="1"/>
  <c r="A27" i="1" s="1"/>
  <c r="A29" i="1"/>
  <c r="A30" i="1" s="1"/>
  <c r="A97" i="1"/>
  <c r="A98" i="1" s="1"/>
  <c r="A57" i="1" l="1"/>
  <c r="A58" i="1" s="1"/>
  <c r="A105" i="1"/>
  <c r="A106" i="1" s="1"/>
  <c r="A107" i="1" s="1"/>
  <c r="A110" i="1" l="1"/>
  <c r="A111" i="1" s="1"/>
  <c r="A112" i="1" s="1"/>
  <c r="A60" i="1"/>
  <c r="A61" i="1" s="1"/>
  <c r="A62" i="1" l="1"/>
  <c r="A63" i="1" s="1"/>
  <c r="A64" i="1" s="1"/>
  <c r="A83" i="1"/>
  <c r="A84" i="1" l="1"/>
  <c r="A85" i="1" s="1"/>
  <c r="A86" i="1" s="1"/>
  <c r="A87" i="1" s="1"/>
  <c r="A88" i="1" s="1"/>
  <c r="A89" i="1" s="1"/>
  <c r="A90" i="1" s="1"/>
  <c r="A91"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Schenineda</author>
    <author>CERSA</author>
  </authors>
  <commentList>
    <comment ref="W6" authorId="0" shapeId="0" xr:uid="{00000000-0006-0000-0000-000001000000}">
      <text>
        <r>
          <rPr>
            <b/>
            <sz val="9"/>
            <color indexed="81"/>
            <rFont val="Tahoma"/>
            <family val="2"/>
          </rPr>
          <t>Schenineda:</t>
        </r>
        <r>
          <rPr>
            <sz val="9"/>
            <color indexed="81"/>
            <rFont val="Tahoma"/>
            <family val="2"/>
          </rPr>
          <t xml:space="preserve">
If the addition of an activity or component requires further clarification, state it. Expecially since COVID may alter center activities and focus</t>
        </r>
      </text>
    </comment>
    <comment ref="X10" authorId="1" shapeId="0" xr:uid="{00000000-0006-0000-0000-000002000000}">
      <text>
        <r>
          <rPr>
            <b/>
            <sz val="9"/>
            <color indexed="81"/>
            <rFont val="Tahoma"/>
            <family val="2"/>
          </rPr>
          <t>CERSA:</t>
        </r>
        <r>
          <rPr>
            <sz val="9"/>
            <color indexed="81"/>
            <rFont val="Tahoma"/>
            <family val="2"/>
          </rPr>
          <t xml:space="preserve">
AO 3 publications (2 sur 1/2 page et 1 sur 1/4 page)
AC 2 sur 1/2 page publications </t>
        </r>
      </text>
    </comment>
    <comment ref="B11" authorId="1" shapeId="0" xr:uid="{00000000-0006-0000-0000-000003000000}">
      <text>
        <r>
          <rPr>
            <b/>
            <sz val="9"/>
            <color indexed="81"/>
            <rFont val="Tahoma"/>
            <family val="2"/>
          </rPr>
          <t>CERSA:</t>
        </r>
        <r>
          <rPr>
            <sz val="9"/>
            <color indexed="81"/>
            <rFont val="Tahoma"/>
            <family val="2"/>
          </rPr>
          <t xml:space="preserve">
Programmer une réunion pour 2022</t>
        </r>
      </text>
    </comment>
    <comment ref="B12" authorId="1" shapeId="0" xr:uid="{00000000-0006-0000-0000-000004000000}">
      <text>
        <r>
          <rPr>
            <b/>
            <sz val="9"/>
            <color indexed="81"/>
            <rFont val="Tahoma"/>
            <family val="2"/>
          </rPr>
          <t>CERSA:</t>
        </r>
        <r>
          <rPr>
            <sz val="9"/>
            <color indexed="81"/>
            <rFont val="Tahoma"/>
            <family val="2"/>
          </rPr>
          <t xml:space="preserve">
Revoir pour tenir compte de 3 techniciens de labo</t>
        </r>
      </text>
    </comment>
    <comment ref="X12" authorId="1" shapeId="0" xr:uid="{00000000-0006-0000-0000-000005000000}">
      <text>
        <r>
          <rPr>
            <b/>
            <sz val="9"/>
            <color indexed="81"/>
            <rFont val="Tahoma"/>
            <family val="2"/>
          </rPr>
          <t>CERSA:</t>
        </r>
        <r>
          <rPr>
            <sz val="9"/>
            <color indexed="81"/>
            <rFont val="Tahoma"/>
            <family val="2"/>
          </rPr>
          <t xml:space="preserve">
Recalculer la masse salariale en prenant en compte la rémunération des techniciens de labo
</t>
        </r>
      </text>
    </comment>
    <comment ref="B26" authorId="1" shapeId="0" xr:uid="{00000000-0006-0000-0000-000006000000}">
      <text>
        <r>
          <rPr>
            <b/>
            <sz val="9"/>
            <color indexed="81"/>
            <rFont val="Tahoma"/>
            <family val="2"/>
          </rPr>
          <t>CERSA:</t>
        </r>
        <r>
          <rPr>
            <sz val="9"/>
            <color indexed="81"/>
            <rFont val="Tahoma"/>
            <family val="2"/>
          </rPr>
          <t xml:space="preserve">
Reconduction du montant </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CERSA</author>
  </authors>
  <commentList>
    <comment ref="C7" authorId="0" shapeId="0" xr:uid="{00000000-0006-0000-1300-000001000000}">
      <text>
        <r>
          <rPr>
            <b/>
            <sz val="9"/>
            <color indexed="81"/>
            <rFont val="Tahoma"/>
            <family val="2"/>
          </rPr>
          <t>CERSA:</t>
        </r>
        <r>
          <rPr>
            <sz val="9"/>
            <color indexed="81"/>
            <rFont val="Tahoma"/>
            <family val="2"/>
          </rPr>
          <t xml:space="preserve">
A combiner avec l'evaluation des rations alimentaires sur la performances des vola
illes</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CERSA</author>
  </authors>
  <commentList>
    <comment ref="J6" authorId="0" shapeId="0" xr:uid="{00000000-0006-0000-1D00-000001000000}">
      <text>
        <r>
          <rPr>
            <b/>
            <sz val="9"/>
            <color indexed="81"/>
            <rFont val="Tahoma"/>
            <family val="2"/>
          </rPr>
          <t>CERSA:</t>
        </r>
        <r>
          <rPr>
            <sz val="9"/>
            <color indexed="81"/>
            <rFont val="Tahoma"/>
            <family val="2"/>
          </rPr>
          <t xml:space="preserve">
Retenue de garantie CIDAPE 10%</t>
        </r>
      </text>
    </comment>
    <comment ref="J7" authorId="0" shapeId="0" xr:uid="{00000000-0006-0000-1D00-000002000000}">
      <text>
        <r>
          <rPr>
            <b/>
            <sz val="9"/>
            <color indexed="81"/>
            <rFont val="Tahoma"/>
            <family val="2"/>
          </rPr>
          <t>CERSA:</t>
        </r>
        <r>
          <rPr>
            <sz val="9"/>
            <color indexed="81"/>
            <rFont val="Tahoma"/>
            <family val="2"/>
          </rPr>
          <t xml:space="preserve">
Retenue de garantie ESPACE BTP</t>
        </r>
      </text>
    </comment>
    <comment ref="J8" authorId="0" shapeId="0" xr:uid="{00000000-0006-0000-1D00-000003000000}">
      <text>
        <r>
          <rPr>
            <b/>
            <sz val="9"/>
            <color indexed="81"/>
            <rFont val="Tahoma"/>
            <family val="2"/>
          </rPr>
          <t>CERSA:</t>
        </r>
        <r>
          <rPr>
            <sz val="9"/>
            <color indexed="81"/>
            <rFont val="Tahoma"/>
            <family val="2"/>
          </rPr>
          <t xml:space="preserve">
Montant du contrat</t>
        </r>
      </text>
    </comment>
    <comment ref="J9" authorId="0" shapeId="0" xr:uid="{00000000-0006-0000-1D00-000004000000}">
      <text>
        <r>
          <rPr>
            <b/>
            <sz val="9"/>
            <color indexed="81"/>
            <rFont val="Tahoma"/>
            <family val="2"/>
          </rPr>
          <t>CERSA:</t>
        </r>
        <r>
          <rPr>
            <sz val="9"/>
            <color indexed="81"/>
            <rFont val="Tahoma"/>
            <family val="2"/>
          </rPr>
          <t xml:space="preserve">
Solde contrat gecoser et montant du marché AFRIK CONSULT TELECOM</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Schenineda</author>
    <author>CERSA</author>
  </authors>
  <commentList>
    <comment ref="W6" authorId="0" shapeId="0" xr:uid="{00000000-0006-0000-0200-000001000000}">
      <text>
        <r>
          <rPr>
            <b/>
            <sz val="9"/>
            <color indexed="81"/>
            <rFont val="Tahoma"/>
            <family val="2"/>
          </rPr>
          <t>Schenineda:</t>
        </r>
        <r>
          <rPr>
            <sz val="9"/>
            <color indexed="81"/>
            <rFont val="Tahoma"/>
            <family val="2"/>
          </rPr>
          <t xml:space="preserve">
If the addition of an activity or component requires further clarification, state it. Expecially since COVID may alter center activities and focus</t>
        </r>
      </text>
    </comment>
    <comment ref="Y15" authorId="1" shapeId="0" xr:uid="{00000000-0006-0000-0200-000006000000}">
      <text>
        <r>
          <rPr>
            <b/>
            <sz val="9"/>
            <color indexed="81"/>
            <rFont val="Tahoma"/>
            <family val="2"/>
          </rPr>
          <t>CERSA:</t>
        </r>
        <r>
          <rPr>
            <sz val="9"/>
            <color indexed="81"/>
            <rFont val="Tahoma"/>
            <family val="2"/>
          </rPr>
          <t xml:space="preserve">
retenue de garantie Gecoser 5% + l'achat d'un serveur web
</t>
        </r>
      </text>
    </comment>
    <comment ref="Y69" authorId="1" shapeId="0" xr:uid="{00000000-0006-0000-0200-000008000000}">
      <text>
        <r>
          <rPr>
            <b/>
            <sz val="9"/>
            <color indexed="81"/>
            <rFont val="Tahoma"/>
            <family val="2"/>
          </rPr>
          <t>CERSA:</t>
        </r>
        <r>
          <rPr>
            <sz val="9"/>
            <color indexed="81"/>
            <rFont val="Tahoma"/>
            <family val="2"/>
          </rPr>
          <t xml:space="preserve">
Reconduction de reliquat marché 01059/2021/drp/UL-F/IDA et 01060/2021/drp/UL/ F-IDA réactifs et verrerie
</t>
        </r>
      </text>
    </comment>
    <comment ref="Y71" authorId="1" shapeId="0" xr:uid="{00000000-0006-0000-0200-000009000000}">
      <text>
        <r>
          <rPr>
            <b/>
            <sz val="9"/>
            <color indexed="81"/>
            <rFont val="Tahoma"/>
            <family val="2"/>
          </rPr>
          <t>CERSA:</t>
        </r>
        <r>
          <rPr>
            <sz val="9"/>
            <color indexed="81"/>
            <rFont val="Tahoma"/>
            <family val="2"/>
          </rPr>
          <t xml:space="preserve">
Reconduction de reliquat marché LC00015/2021/UL/F/IDA</t>
        </r>
      </text>
    </comment>
    <comment ref="Y73" authorId="1" shapeId="0" xr:uid="{00000000-0006-0000-0200-00000A000000}">
      <text>
        <r>
          <rPr>
            <b/>
            <sz val="9"/>
            <color indexed="81"/>
            <rFont val="Tahoma"/>
            <family val="2"/>
          </rPr>
          <t>CERSA:</t>
        </r>
        <r>
          <rPr>
            <sz val="9"/>
            <color indexed="81"/>
            <rFont val="Tahoma"/>
            <family val="2"/>
          </rPr>
          <t xml:space="preserve">
Marché 01061/2021/DRP/UL/F/IDA-Maintenance des équipements de labo</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Schenineda</author>
    <author>CERSA</author>
  </authors>
  <commentList>
    <comment ref="W6" authorId="0" shapeId="0" xr:uid="{00000000-0006-0000-0400-000001000000}">
      <text>
        <r>
          <rPr>
            <b/>
            <sz val="9"/>
            <color indexed="81"/>
            <rFont val="Tahoma"/>
            <family val="2"/>
          </rPr>
          <t>Schenineda:</t>
        </r>
        <r>
          <rPr>
            <sz val="9"/>
            <color indexed="81"/>
            <rFont val="Tahoma"/>
            <family val="2"/>
          </rPr>
          <t xml:space="preserve">
If the addition of an activity or component requires further clarification, state it. Expecially since COVID may alter center activities and focus</t>
        </r>
      </text>
    </comment>
    <comment ref="X10" authorId="1" shapeId="0" xr:uid="{00000000-0006-0000-0400-000002000000}">
      <text>
        <r>
          <rPr>
            <b/>
            <sz val="9"/>
            <color indexed="81"/>
            <rFont val="Tahoma"/>
            <family val="2"/>
          </rPr>
          <t>CERSA:</t>
        </r>
        <r>
          <rPr>
            <sz val="9"/>
            <color indexed="81"/>
            <rFont val="Tahoma"/>
            <family val="2"/>
          </rPr>
          <t xml:space="preserve">
AO 3 publications (2 sur 1/2 page et 1 sur 1/4 page)
AC 2 sur 1/2 page publications </t>
        </r>
      </text>
    </comment>
    <comment ref="B11" authorId="1" shapeId="0" xr:uid="{00000000-0006-0000-0400-000003000000}">
      <text>
        <r>
          <rPr>
            <b/>
            <sz val="9"/>
            <color indexed="81"/>
            <rFont val="Tahoma"/>
            <family val="2"/>
          </rPr>
          <t>CERSA:</t>
        </r>
        <r>
          <rPr>
            <sz val="9"/>
            <color indexed="81"/>
            <rFont val="Tahoma"/>
            <family val="2"/>
          </rPr>
          <t xml:space="preserve">
Programmer une réunion pour 2022</t>
        </r>
      </text>
    </comment>
    <comment ref="B12" authorId="1" shapeId="0" xr:uid="{00000000-0006-0000-0400-000004000000}">
      <text>
        <r>
          <rPr>
            <b/>
            <sz val="9"/>
            <color indexed="81"/>
            <rFont val="Tahoma"/>
            <family val="2"/>
          </rPr>
          <t>CERSA:</t>
        </r>
        <r>
          <rPr>
            <sz val="9"/>
            <color indexed="81"/>
            <rFont val="Tahoma"/>
            <family val="2"/>
          </rPr>
          <t xml:space="preserve">
Revoir pour tenir compte de 3 techniciens de labo</t>
        </r>
      </text>
    </comment>
    <comment ref="X12" authorId="1" shapeId="0" xr:uid="{00000000-0006-0000-0400-000005000000}">
      <text>
        <r>
          <rPr>
            <b/>
            <sz val="9"/>
            <color indexed="81"/>
            <rFont val="Tahoma"/>
            <family val="2"/>
          </rPr>
          <t>CERSA:</t>
        </r>
        <r>
          <rPr>
            <sz val="9"/>
            <color indexed="81"/>
            <rFont val="Tahoma"/>
            <family val="2"/>
          </rPr>
          <t xml:space="preserve">
Recalculer la masse salariale en prenant en compte la rémunération des techniciens de labo
</t>
        </r>
      </text>
    </comment>
    <comment ref="AA15" authorId="1" shapeId="0" xr:uid="{00000000-0006-0000-0400-000006000000}">
      <text>
        <r>
          <rPr>
            <b/>
            <sz val="9"/>
            <color indexed="81"/>
            <rFont val="Tahoma"/>
            <family val="2"/>
          </rPr>
          <t>CERSA:</t>
        </r>
        <r>
          <rPr>
            <sz val="9"/>
            <color indexed="81"/>
            <rFont val="Tahoma"/>
            <family val="2"/>
          </rPr>
          <t xml:space="preserve">
retenue de garantie Gecoser 5% + l'achat d'un serveur web
</t>
        </r>
      </text>
    </comment>
    <comment ref="B26" authorId="1" shapeId="0" xr:uid="{00000000-0006-0000-0400-000007000000}">
      <text>
        <r>
          <rPr>
            <b/>
            <sz val="9"/>
            <color indexed="81"/>
            <rFont val="Tahoma"/>
            <family val="2"/>
          </rPr>
          <t>CERSA:</t>
        </r>
        <r>
          <rPr>
            <sz val="9"/>
            <color indexed="81"/>
            <rFont val="Tahoma"/>
            <family val="2"/>
          </rPr>
          <t xml:space="preserve">
Reconduction du montant </t>
        </r>
      </text>
    </comment>
    <comment ref="AA74" authorId="1" shapeId="0" xr:uid="{00000000-0006-0000-0400-000008000000}">
      <text>
        <r>
          <rPr>
            <b/>
            <sz val="9"/>
            <color indexed="81"/>
            <rFont val="Tahoma"/>
            <family val="2"/>
          </rPr>
          <t>CERSA:</t>
        </r>
        <r>
          <rPr>
            <sz val="9"/>
            <color indexed="81"/>
            <rFont val="Tahoma"/>
            <family val="2"/>
          </rPr>
          <t xml:space="preserve">
Reconduction de reliquat marché 01059/2021/drp/UL-F/IDA et 01060/2021/drp/UL/ F-IDA réactifs et verrerie
</t>
        </r>
      </text>
    </comment>
    <comment ref="AA76" authorId="1" shapeId="0" xr:uid="{00000000-0006-0000-0400-000009000000}">
      <text>
        <r>
          <rPr>
            <b/>
            <sz val="9"/>
            <color indexed="81"/>
            <rFont val="Tahoma"/>
            <family val="2"/>
          </rPr>
          <t>CERSA:</t>
        </r>
        <r>
          <rPr>
            <sz val="9"/>
            <color indexed="81"/>
            <rFont val="Tahoma"/>
            <family val="2"/>
          </rPr>
          <t xml:space="preserve">
Reconduction de reliquat marché LC00015/2021/UL/F/IDA</t>
        </r>
      </text>
    </comment>
    <comment ref="AA78" authorId="1" shapeId="0" xr:uid="{00000000-0006-0000-0400-00000A000000}">
      <text>
        <r>
          <rPr>
            <b/>
            <sz val="9"/>
            <color indexed="81"/>
            <rFont val="Tahoma"/>
            <family val="2"/>
          </rPr>
          <t>CERSA:</t>
        </r>
        <r>
          <rPr>
            <sz val="9"/>
            <color indexed="81"/>
            <rFont val="Tahoma"/>
            <family val="2"/>
          </rPr>
          <t xml:space="preserve">
Marché 01061/2021/DRP/UL/F/IDA-Maintenance des équipements de labo</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CERSA</author>
  </authors>
  <commentList>
    <comment ref="J5" authorId="0" shapeId="0" xr:uid="{00000000-0006-0000-0800-000001000000}">
      <text>
        <r>
          <rPr>
            <b/>
            <sz val="9"/>
            <color indexed="81"/>
            <rFont val="Tahoma"/>
            <family val="2"/>
          </rPr>
          <t>CERSA:</t>
        </r>
        <r>
          <rPr>
            <sz val="9"/>
            <color indexed="81"/>
            <rFont val="Tahoma"/>
            <family val="2"/>
          </rPr>
          <t xml:space="preserve">
AO 3 publications (2 sur 1/2 page et 1 sur 1/4 page)
AC 2 sur 1/2 page publications </t>
        </r>
      </text>
    </comment>
    <comment ref="C6" authorId="0" shapeId="0" xr:uid="{00000000-0006-0000-0800-000002000000}">
      <text>
        <r>
          <rPr>
            <b/>
            <sz val="9"/>
            <color indexed="81"/>
            <rFont val="Tahoma"/>
            <family val="2"/>
          </rPr>
          <t>CERSA:</t>
        </r>
        <r>
          <rPr>
            <sz val="9"/>
            <color indexed="81"/>
            <rFont val="Tahoma"/>
            <family val="2"/>
          </rPr>
          <t xml:space="preserve">
Programmer une réunion pour 2022</t>
        </r>
      </text>
    </comment>
    <comment ref="C7" authorId="0" shapeId="0" xr:uid="{00000000-0006-0000-0800-000003000000}">
      <text>
        <r>
          <rPr>
            <b/>
            <sz val="9"/>
            <color indexed="81"/>
            <rFont val="Tahoma"/>
            <family val="2"/>
          </rPr>
          <t>CERSA:</t>
        </r>
        <r>
          <rPr>
            <sz val="9"/>
            <color indexed="81"/>
            <rFont val="Tahoma"/>
            <family val="2"/>
          </rPr>
          <t xml:space="preserve">
Revoir pour tenir compte de 3 techniciens de labo</t>
        </r>
      </text>
    </comment>
    <comment ref="J7" authorId="0" shapeId="0" xr:uid="{00000000-0006-0000-0800-000004000000}">
      <text>
        <r>
          <rPr>
            <b/>
            <sz val="9"/>
            <color indexed="81"/>
            <rFont val="Tahoma"/>
            <family val="2"/>
          </rPr>
          <t>CERSA:</t>
        </r>
        <r>
          <rPr>
            <sz val="9"/>
            <color indexed="81"/>
            <rFont val="Tahoma"/>
            <family val="2"/>
          </rPr>
          <t xml:space="preserve">
Recalculer la masse salariale en prenant en compte la rémunération des techniciens de labo
</t>
        </r>
      </text>
    </comment>
    <comment ref="D10" authorId="0" shapeId="0" xr:uid="{00000000-0006-0000-0800-000005000000}">
      <text>
        <r>
          <rPr>
            <b/>
            <sz val="9"/>
            <color indexed="81"/>
            <rFont val="Tahoma"/>
            <family val="2"/>
          </rPr>
          <t>CERSA:</t>
        </r>
        <r>
          <rPr>
            <sz val="9"/>
            <color indexed="81"/>
            <rFont val="Tahoma"/>
            <family val="2"/>
          </rPr>
          <t xml:space="preserve">
Revoir la quantité et calcul du montant</t>
        </r>
      </text>
    </comment>
    <comment ref="D11" authorId="0" shapeId="0" xr:uid="{00000000-0006-0000-0800-000006000000}">
      <text>
        <r>
          <rPr>
            <b/>
            <sz val="9"/>
            <color indexed="81"/>
            <rFont val="Tahoma"/>
            <family val="2"/>
          </rPr>
          <t>CERSA:</t>
        </r>
        <r>
          <rPr>
            <sz val="9"/>
            <color indexed="81"/>
            <rFont val="Tahoma"/>
            <family val="2"/>
          </rPr>
          <t xml:space="preserve">
Rupture du contrat d'abonnement et prise en compte </t>
        </r>
      </text>
    </comment>
    <comment ref="C21" authorId="0" shapeId="0" xr:uid="{00000000-0006-0000-0800-000007000000}">
      <text>
        <r>
          <rPr>
            <b/>
            <sz val="9"/>
            <color indexed="81"/>
            <rFont val="Tahoma"/>
            <family val="2"/>
          </rPr>
          <t>CERSA:</t>
        </r>
        <r>
          <rPr>
            <sz val="9"/>
            <color indexed="81"/>
            <rFont val="Tahoma"/>
            <family val="2"/>
          </rPr>
          <t xml:space="preserve">
Reconduction du montant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CERSA</author>
  </authors>
  <commentList>
    <comment ref="C6" authorId="0" shapeId="0" xr:uid="{00000000-0006-0000-0A00-000001000000}">
      <text>
        <r>
          <rPr>
            <b/>
            <sz val="9"/>
            <color indexed="81"/>
            <rFont val="Tahoma"/>
            <family val="2"/>
          </rPr>
          <t>CERSA:</t>
        </r>
        <r>
          <rPr>
            <sz val="9"/>
            <color indexed="81"/>
            <rFont val="Tahoma"/>
            <family val="2"/>
          </rPr>
          <t xml:space="preserve">
Revoir le montant en considérant les indemnites de membres de jury</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CERSA</author>
  </authors>
  <commentList>
    <comment ref="B5" authorId="0" shapeId="0" xr:uid="{00000000-0006-0000-0E00-000001000000}">
      <text>
        <r>
          <rPr>
            <b/>
            <sz val="9"/>
            <color indexed="81"/>
            <rFont val="Tahoma"/>
            <family val="2"/>
          </rPr>
          <t>CERSA:</t>
        </r>
        <r>
          <rPr>
            <sz val="9"/>
            <color indexed="81"/>
            <rFont val="Tahoma"/>
            <family val="2"/>
          </rPr>
          <t xml:space="preserve">
- Mission de réciclage et de fprrmation sur l'utilisation des équipements de laboratoire (Séquenseur de gènes, HPLC, GCMS)
- Séminaire sur la rédaction scientifique)</t>
        </r>
      </text>
    </comment>
    <comment ref="I6" authorId="0" shapeId="0" xr:uid="{00000000-0006-0000-0E00-000002000000}">
      <text>
        <r>
          <rPr>
            <b/>
            <sz val="9"/>
            <color indexed="81"/>
            <rFont val="Tahoma"/>
            <family val="2"/>
          </rPr>
          <t>CERSA:</t>
        </r>
        <r>
          <rPr>
            <sz val="9"/>
            <color indexed="81"/>
            <rFont val="Tahoma"/>
            <family val="2"/>
          </rPr>
          <t xml:space="preserve">
Frais d'inscription, allocations mensuelles, hebergements&amp; divers, prime assurance maladie</t>
        </r>
      </text>
    </comment>
    <comment ref="I7" authorId="0" shapeId="0" xr:uid="{00000000-0006-0000-0E00-000003000000}">
      <text>
        <r>
          <rPr>
            <b/>
            <sz val="9"/>
            <color indexed="81"/>
            <rFont val="Tahoma"/>
            <family val="2"/>
          </rPr>
          <t>CERSA:</t>
        </r>
        <r>
          <rPr>
            <sz val="9"/>
            <color indexed="81"/>
            <rFont val="Tahoma"/>
            <family val="2"/>
          </rPr>
          <t xml:space="preserve">
Frais d'inscription, allocations mensuelles, hebergements&amp; divers, prime assurance maladie</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CERSA</author>
  </authors>
  <commentList>
    <comment ref="J5" authorId="0" shapeId="0" xr:uid="{00000000-0006-0000-0F00-000001000000}">
      <text>
        <r>
          <rPr>
            <b/>
            <sz val="9"/>
            <color indexed="81"/>
            <rFont val="Tahoma"/>
            <family val="2"/>
          </rPr>
          <t>CERSA:</t>
        </r>
        <r>
          <rPr>
            <sz val="9"/>
            <color indexed="81"/>
            <rFont val="Tahoma"/>
            <family val="2"/>
          </rPr>
          <t xml:space="preserve">
Prise en charge des formateurs (indemnités, voyage, reproduction des kits de formation)</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CERSA</author>
  </authors>
  <commentList>
    <comment ref="I7" authorId="0" shapeId="0" xr:uid="{00000000-0006-0000-1100-000001000000}">
      <text>
        <r>
          <rPr>
            <b/>
            <sz val="9"/>
            <color indexed="81"/>
            <rFont val="Tahoma"/>
            <family val="2"/>
          </rPr>
          <t>CERSA:</t>
        </r>
        <r>
          <rPr>
            <sz val="9"/>
            <color indexed="81"/>
            <rFont val="Tahoma"/>
            <family val="2"/>
          </rPr>
          <t xml:space="preserve">
Al</t>
        </r>
      </text>
    </comment>
    <comment ref="I8" authorId="0" shapeId="0" xr:uid="{00000000-0006-0000-1100-000002000000}">
      <text>
        <r>
          <rPr>
            <b/>
            <sz val="9"/>
            <color indexed="81"/>
            <rFont val="Tahoma"/>
            <family val="2"/>
          </rPr>
          <t>CERSA:</t>
        </r>
        <r>
          <rPr>
            <sz val="9"/>
            <color indexed="81"/>
            <rFont val="Tahoma"/>
            <family val="2"/>
          </rPr>
          <t xml:space="preserve">
</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CERSA</author>
  </authors>
  <commentList>
    <comment ref="C5" authorId="0" shapeId="0" xr:uid="{00000000-0006-0000-1200-000001000000}">
      <text>
        <r>
          <rPr>
            <b/>
            <sz val="9"/>
            <color indexed="81"/>
            <rFont val="Tahoma"/>
            <family val="2"/>
          </rPr>
          <t>CERSA:</t>
        </r>
        <r>
          <rPr>
            <sz val="9"/>
            <color indexed="81"/>
            <rFont val="Tahoma"/>
            <family val="2"/>
          </rPr>
          <t xml:space="preserve">
Conception et test de l'équipement le mieux adapté pour le fumage des poulets</t>
        </r>
      </text>
    </comment>
  </commentList>
</comments>
</file>

<file path=xl/sharedStrings.xml><?xml version="1.0" encoding="utf-8"?>
<sst xmlns="http://schemas.openxmlformats.org/spreadsheetml/2006/main" count="3672" uniqueCount="573">
  <si>
    <t>RECAPITULATIF PTBA 2022</t>
  </si>
  <si>
    <t>COMPOSANTE</t>
  </si>
  <si>
    <t>GOUVERNANCE ET FONCTIONNEMENT</t>
  </si>
  <si>
    <t>EXCELLENCE DANS L'ENSEIGNEMENT ET LA FORMATION</t>
  </si>
  <si>
    <t>EXCELLENCE DANS LA RECHERCHE</t>
  </si>
  <si>
    <t>IMPACT DE DEVELOPPEMENT</t>
  </si>
  <si>
    <t>RENFORCEMENT DE L4ENVIRONNEMENT PEDAGIGIQUE ET DE RECHERCHE</t>
  </si>
  <si>
    <t>TOTAL</t>
  </si>
  <si>
    <t>Nom du centre</t>
  </si>
  <si>
    <t>CENTRE D'EXCELLENCE REGIONAL SUR LES SCIENCES AVIAIRES</t>
  </si>
  <si>
    <t>Institution</t>
  </si>
  <si>
    <t>UNIVERSITE DE LOME</t>
  </si>
  <si>
    <t>Dans les délais prévus</t>
  </si>
  <si>
    <t>Pays</t>
  </si>
  <si>
    <t>TOGO</t>
  </si>
  <si>
    <t>Leader du centre</t>
  </si>
  <si>
    <t>Prof. TONA Kokou</t>
  </si>
  <si>
    <t>En retard sur le programme</t>
  </si>
  <si>
    <t>Plan de travail annuel (mois-mois XXX, année)</t>
  </si>
  <si>
    <t>Activités du plan de travail</t>
  </si>
  <si>
    <t>Description</t>
  </si>
  <si>
    <t xml:space="preserve">Contribution des partenaires (le cas échéant)
</t>
  </si>
  <si>
    <t xml:space="preserve">Etapes / Résultats
</t>
  </si>
  <si>
    <t xml:space="preserve">Si NOUVEAU, fournir une justification
</t>
  </si>
  <si>
    <t>Budget estimé ($)</t>
  </si>
  <si>
    <t>Estimation des recettes ($)</t>
  </si>
  <si>
    <t>Contribution du partenaire ($)</t>
  </si>
  <si>
    <t>Responsable</t>
  </si>
  <si>
    <t>Jan</t>
  </si>
  <si>
    <t>Feb</t>
  </si>
  <si>
    <t>Mar</t>
  </si>
  <si>
    <t>Avr</t>
  </si>
  <si>
    <t>Mai</t>
  </si>
  <si>
    <t>Jui</t>
  </si>
  <si>
    <t>Jul</t>
  </si>
  <si>
    <t>Aout</t>
  </si>
  <si>
    <t>Sep</t>
  </si>
  <si>
    <t>Oct</t>
  </si>
  <si>
    <t>Nov</t>
  </si>
  <si>
    <t>Dec</t>
  </si>
  <si>
    <t>Action 1: GOUVERNANCE ET FONCTIONNEMENT \Action du DLI6</t>
  </si>
  <si>
    <t>Activité</t>
  </si>
  <si>
    <t>Sous-action 1a: Fonctionnement de l'Administration\</t>
  </si>
  <si>
    <t>Insertion et publication</t>
  </si>
  <si>
    <t>Publier dans le quotidien national et autres  des avis à manifestation d'intérêt, des appels d'offres, des appels à candidature pour les formations  dans le quotidien national et autres</t>
  </si>
  <si>
    <t>X</t>
  </si>
  <si>
    <t xml:space="preserve">Avis publiés conformément aux procédures
Transparence assurée </t>
  </si>
  <si>
    <t xml:space="preserve">Unité de Coordination </t>
  </si>
  <si>
    <t>Réunions semestrielles du Comité de pilotage  CERSA</t>
  </si>
  <si>
    <t>Evaluer périodiquement le niveau d'exécution des activités</t>
  </si>
  <si>
    <t>Plan d'actions approuvé et suivi</t>
  </si>
  <si>
    <t>Rémunérations du personnel technique recruté</t>
  </si>
  <si>
    <t>Rémunérer le personnel contractuel (Spécialistes en gestion financière, en passation des marchés, en communication , post docs et techniciens de laboratoire)</t>
  </si>
  <si>
    <t>Personnel contractuel rémunéré</t>
  </si>
  <si>
    <t>Réunions périodiques de l'administration</t>
  </si>
  <si>
    <t>Faire les points de la feuille de route  périodique</t>
  </si>
  <si>
    <t xml:space="preserve">4 réunions organisées par mois </t>
  </si>
  <si>
    <t>Communication pour la promotion du CERSA</t>
  </si>
  <si>
    <t>Promouvoir le CERSA dans la sous région(visite de chancellerie des universités, média, web etc)</t>
  </si>
  <si>
    <t>Visites de chancellerie des universités d'au moins deux pays de la sous-region dont les étudiants ne sont pas inscrits au CERSA</t>
  </si>
  <si>
    <t xml:space="preserve">Equipement de l'administration en matériel informatique et de bureau </t>
  </si>
  <si>
    <t>Renforcer le parc informatique du centre (achat de trois imprimantes, un copieur,  seize ordinateurs portables et serveur)</t>
  </si>
  <si>
    <t>achat de trois (03) imprimantes, un(01) copieur,  seize (16) ordinateurs portables et (01) serveur</t>
  </si>
  <si>
    <t>Abonnement internet</t>
  </si>
  <si>
    <t>Renouveler l'abonnement internet et renforcer la connexion</t>
  </si>
  <si>
    <t xml:space="preserve">connexion internet pour au moins 20 personnes </t>
  </si>
  <si>
    <t xml:space="preserve">Maintenance des équipements informatiques et renouvellement anti-virus </t>
  </si>
  <si>
    <t>Entretenir périodiquement  le pack matériel informatique</t>
  </si>
  <si>
    <t>Maintenance préventive et/ou curative de 30 ordinateurs, 6 imprimantes, 2 photocopieurs et 2 scanners</t>
  </si>
  <si>
    <t xml:space="preserve">Renforcement de capacités  du personnel administratif et de l'UL sur les procédures de la Banque mondiale </t>
  </si>
  <si>
    <t>Renforcer la capacité du personnel technique contractuel et de l'UL  en gestion de projet, suivi-évaluation, passation des marchés, en communication et en gestion financière)</t>
  </si>
  <si>
    <t>Directeur et directeur-adjoint formés en gestion de projets</t>
  </si>
  <si>
    <t>Maintenance et animation du site web du CERSA</t>
  </si>
  <si>
    <t>Améliorer les statistiques de visite sur  le site web www.cersa-togo.org</t>
  </si>
  <si>
    <t>Rapports d'audit interne, externe et de gestion publiés, statistiques de visite du site web améliorées</t>
  </si>
  <si>
    <t>Abonnement aux journaux (presses nationales)</t>
  </si>
  <si>
    <t>s'abonner aux journaux nationaux et internationaux</t>
  </si>
  <si>
    <t>Presses disponibles</t>
  </si>
  <si>
    <t xml:space="preserve">Fonctionnement du matériel roulant </t>
  </si>
  <si>
    <t>Faciliter  le déplacement administratif au personnel administratif et technique du centre</t>
  </si>
  <si>
    <t>Matériel roulant assuré, et opérationnel</t>
  </si>
  <si>
    <t xml:space="preserve">Achat de crédits communication </t>
  </si>
  <si>
    <t>Faciliter la communication entre les membres de l'équipe technique</t>
  </si>
  <si>
    <t>Communication entre personnel assurée</t>
  </si>
  <si>
    <t>Organisation des missions  (voyage et séjour)</t>
  </si>
  <si>
    <t>Prendre en charge le personnel en mission (achat de billet, indemnités de mission, Test PCR )</t>
  </si>
  <si>
    <t xml:space="preserve">Déplacement et séjour pris en charge </t>
  </si>
  <si>
    <t>Acquisition de fournitures de bureau et consommable informatique</t>
  </si>
  <si>
    <t>Disposer de consommable de bureau et informatique</t>
  </si>
  <si>
    <t>Fournitures de bureau disponible</t>
  </si>
  <si>
    <t>Entretien des infrastructures du CERSA</t>
  </si>
  <si>
    <t>Assurer la propreté des bureaux et laboratoires du centre</t>
  </si>
  <si>
    <t>Hygiène et propreté garanties aux bureaux, labo et salle de classe</t>
  </si>
  <si>
    <t>Souscription de police d'assurance du personnel</t>
  </si>
  <si>
    <t>Assurer santé et la sécurité du  personnel auprès des compagnies d'assurance</t>
  </si>
  <si>
    <t>Santé et sécurité assurée pour le personnel contractuel</t>
  </si>
  <si>
    <t xml:space="preserve">Règlement des frais bancaires </t>
  </si>
  <si>
    <t>Assurer les charges financières relatives à la gestion du compte bancaire et différentes transactions financières</t>
  </si>
  <si>
    <t>Frais bancaires acquittés</t>
  </si>
  <si>
    <t>Sous-Action 1b: Suivi-évaluation  de la performance fiduciaire</t>
  </si>
  <si>
    <t>Suivi-évaluation de la gestion fiduciaire</t>
  </si>
  <si>
    <t>Organiser les audits internes et externes du centre</t>
  </si>
  <si>
    <t>3 rapports d'audit interne et 1 rapport d'audit externe de la gestion financière et de la passation des marchés</t>
  </si>
  <si>
    <t>Directeur/SGF/SPM</t>
  </si>
  <si>
    <t>Mise à jour du logiciel de gestion financière</t>
  </si>
  <si>
    <t>Acquérir une licence du  logiciel Tom²pro doté de caractéristiques multiprojets, multidonateurs et multisites</t>
  </si>
  <si>
    <t>Logiciel Tom²pro multiprojets, mulisites et multidonateurs opérationalisé</t>
  </si>
  <si>
    <t>Sous-Action 1c: Suivi et contrôle des activités de recherche</t>
  </si>
  <si>
    <t>Evaluation et approbation des projets des différentes thématiques de recherche</t>
  </si>
  <si>
    <t>Valider de nouvelles thématiques de recherches</t>
  </si>
  <si>
    <t>Nouvelles thématiques approuvées</t>
  </si>
  <si>
    <t>DA/Chef service recherche et developpement</t>
  </si>
  <si>
    <t>Soutien et coordination de la production  scientifique</t>
  </si>
  <si>
    <t xml:space="preserve">Frais de publication des articles scientifiques </t>
  </si>
  <si>
    <t>Frais de publication et édition d'article scientifique pris en charge par le centre</t>
  </si>
  <si>
    <t>Sous-Action 1d: Suivi semestriel des activités d'enseignement et de formation</t>
  </si>
  <si>
    <t>Coordination de la formation</t>
  </si>
  <si>
    <t xml:space="preserve"> Organisation des enseignements, journée d'intégration, recherche et supervision des stages</t>
  </si>
  <si>
    <t>Supervision de stage et co-supervision des expérimenations</t>
  </si>
  <si>
    <t>Stages et expérimentations supervisés</t>
  </si>
  <si>
    <t>Directeur Adjoint/Chef service formation</t>
  </si>
  <si>
    <t>Action 2: EXCELLENCE DANS L'ENSEIGNEMENT ET LA FORMATION\Action du DLI 3-4</t>
  </si>
  <si>
    <t>Sous-Action 2a: Developpement de programme de formation</t>
  </si>
  <si>
    <t>Développement d'une formation certifiante en chaine de valeur avicole</t>
  </si>
  <si>
    <t>Développer un curricula de 60 crédits prenant en compte tous les maillons de la filière avicole</t>
  </si>
  <si>
    <t>Appui technique et conseil</t>
  </si>
  <si>
    <t>Curricula développés</t>
  </si>
  <si>
    <t>DA/Chef service formation/Commission ad hoc</t>
  </si>
  <si>
    <t>Développement d'un programme de formation de courte durée en marketing des produits avicoles</t>
  </si>
  <si>
    <t>Développer un curricula de la formation de courte durée en marketing des produits avicoles (conservation,conditionnement, e-commerce, distribution)
 cibles:  femmes  engagées dans la  commercialisation des produits avicoles</t>
  </si>
  <si>
    <t>Alimentation et nutrition animale</t>
  </si>
  <si>
    <t>Développer un curricula de master l'alimentation et la nutrition animale en vue de renforcer le maillon faible du sous secteur d'élevage représentatnt 50  à 70% des coûts de production.
 Etudiants</t>
  </si>
  <si>
    <t>Bio-éthique et bien-être des animaux domestiques</t>
  </si>
  <si>
    <t>Développer un curricula de master sur la bio-éthique et le bien être des animaux domestiques en vue du respect du droit des animaux.
 Cibles : étudiants</t>
  </si>
  <si>
    <t>Curricula de master sur la bio-éthique disponibles</t>
  </si>
  <si>
    <t>Sous-Action 2b: Formation des étudiants en Master et Doctorat</t>
  </si>
  <si>
    <t>Mission d'enseignement et de recherche</t>
  </si>
  <si>
    <t xml:space="preserve">Impliquer les partenaires pour  une formation de qualité </t>
  </si>
  <si>
    <t>Mission d'enseignement et appui à la recherche</t>
  </si>
  <si>
    <t>Au moins sept cours et 03  séminiaires thématiques assurés par les partenaires académiques</t>
  </si>
  <si>
    <t>Allocations d'études aux étudiants sélectionnés en master</t>
  </si>
  <si>
    <t>Mettre des étudiants régionaux  dans de conditions d'études acceptables (Inscription, hebergement et allocations de subsistance)</t>
  </si>
  <si>
    <t>Sélection de 40 nouveaux étudiants en master
25 étudiants en fin de formation</t>
  </si>
  <si>
    <t>Directeur/DA/Chef service formation/ SGF</t>
  </si>
  <si>
    <t>Allocations d'études aux étudiants sélectionnés aux doctorants</t>
  </si>
  <si>
    <t>Mettre des étudiants régionaux  dans de conditions d'études acceptables (inscription, hebergement et allocations de subsistance )</t>
  </si>
  <si>
    <t>Sélection de 10 nouveaux étudiants en master
20 étudiants en fin de formation</t>
  </si>
  <si>
    <t>Sous-Action 2c: Formation modulaire et de courte durée</t>
  </si>
  <si>
    <t>Formations modulaires spécialisées pour les professionnels différents acteurs de la filière</t>
  </si>
  <si>
    <t>Renforcément des capacités des aviculteurs pour implémentation des résultats des recherches( procédés de transformation, alimentation des volailles, production de poussins d'un jour,</t>
  </si>
  <si>
    <t>Appui à l'identification des besoins de formation en aviculture et selections des apprenants</t>
  </si>
  <si>
    <t xml:space="preserve">- au moins deux(02) formations de courte durée sur la production et utilisation des asticots dans l'alimentation des volailles au Togo
- au moins deux(02) formations en aviculture au Togo et trois(03) formations dans la sous region (Niger, Gabon, Ghana) </t>
  </si>
  <si>
    <t>Directeur/DA/Chef service formation</t>
  </si>
  <si>
    <t>Action 3: EXCELLENCE DANS LA RECHERCHE\Action du DLI 5</t>
  </si>
  <si>
    <t>Sous-Action 3a: Techniques innovantes de productions avicoles</t>
  </si>
  <si>
    <t>Détermination des normes d'élevage des volailles en zones tropicales</t>
  </si>
  <si>
    <t>Disposer des données sur les différentes populations des pintades  dans la région, Caractérisation des techniques de production avicole</t>
  </si>
  <si>
    <t xml:space="preserve">Appui à la recherche
Transfert de connaissance
Participation aux jurys </t>
  </si>
  <si>
    <t>Un programme de la mue artificielle des reproducteurs de poule élaboré
Une publication scientifique
Un mémoire de master finalisé  
Paramètres morpho-biométrique et moléculaire des populations locales de pintades caractérisés
Une thèse de doctorat finalisée
Une publication scientifique</t>
  </si>
  <si>
    <t>Chef service recherche et développement/Directeur de parcours/Etudiants</t>
  </si>
  <si>
    <t>Etude des déterminants de la qualité des poussins/dindonneaux/pintadeaux/canetons d'un jour</t>
  </si>
  <si>
    <t xml:space="preserve">Etudier la performance et les paramètres physiologiques en fonction des conditions environnementales </t>
  </si>
  <si>
    <t xml:space="preserve">Effets des facteurs d'incubation des œufs de volailles sur la qualité des progénitures
trois(03) mémoires de master finalisés et
cinq (05) thèses entamées,trois (03) thèses finalisées </t>
  </si>
  <si>
    <t>Développement de techniques de diagnostic, contrôle et traitements des maladies des volailles</t>
  </si>
  <si>
    <t>Meilleure connaissance des symptômes et lésions, diagnostic expérimental, utilisations des plantes médicinales, stratégie de contrôle</t>
  </si>
  <si>
    <t>Efficaité des plantes à propriétés prébiotiques déterminée
Deux publications scientifiques
Une thèse de doctorat finalisée
Un mémoire de master finalisé
Sous-produits agroindutriels à propriétés pré/probiotiques identifiés</t>
  </si>
  <si>
    <t>Amélioration génétique des volailles</t>
  </si>
  <si>
    <t>Biodiversité et protection de l'espèce en voie de disparition, amélioration de la poule locale, caractérisation moléculaire des volailles, effet des croissement des différents génotypes des poules</t>
  </si>
  <si>
    <t>Noyaux de parentaux de trois races de poules et d'une race de pintades mis en place
3 Mémoires de master finalisés</t>
  </si>
  <si>
    <t>Evaluation multicritères de l'acclimatation des poulets</t>
  </si>
  <si>
    <t>Acclimatation des poulets au froid ou au chaleur au cours de l'embryogénèse et post eclosion</t>
  </si>
  <si>
    <t>trois(03) memoires de master finalisés
une(01) publication</t>
  </si>
  <si>
    <t>Sous-action 3b: Post-récolte des produits avicoles- transformation</t>
  </si>
  <si>
    <t>Développement de technologies innovantes de transformation et de conservation des produits avicoles (biscuits, saucisses et mayonnaises label CERSA)</t>
  </si>
  <si>
    <t>Développer des technologies innovantes pour améliorer la sécurité alimentaire</t>
  </si>
  <si>
    <t>diagnostic du système de fumage de poulet et caractéistiques des poulets fumés détermiés
Une thèse de doctorat finalisée
Une publication scientifique</t>
  </si>
  <si>
    <t>Inventaire des méthodes de transformation et de conservation des produits de volailles(Valorisation  des sous produits de volailles)</t>
  </si>
  <si>
    <t>Deux(02) mémoires de master
-Trois (03) thèses en cours
-Au moins deux (02) publications</t>
  </si>
  <si>
    <t>Directeur/SPM/SGF</t>
  </si>
  <si>
    <t>Sous-Action 3c: Alimentation et nutrition animale</t>
  </si>
  <si>
    <t>Impact de l'alimentation des volailles sur leurs performances</t>
  </si>
  <si>
    <t>Etudier le système d'alimentation séquentielle des volailles en climat chaud et humide</t>
  </si>
  <si>
    <t>Programme d'alimentation séquentielle des poulets de chair élaboré
Au moins deux (02) publications scientifiques
Au moins trois (03) thèses de doctorat finaliséés
Au moins trois(03) mémoires de master finalisés</t>
  </si>
  <si>
    <t>Chef service recherche et développement/Directeur de thèse et mémoire/Etudiants</t>
  </si>
  <si>
    <t>Identification de sources de protéines alternatives pour l'alimentation des volailles</t>
  </si>
  <si>
    <t>Etudier l'effet de substitution de la farine de poisson par la farine d'asticotsde mouches soldates sur la performance zootechniques des volailles</t>
  </si>
  <si>
    <t>Effets de l'incorporation de la farine d'asticots de mouche soldate sur les performances de production d'œufs de table déterminés
Deux memoires de master finalisés</t>
  </si>
  <si>
    <t>Valorisation des ingrédients alimentaires non conventionnels</t>
  </si>
  <si>
    <t>Etudier le profil chimique de l'huile de palme et ses effets sur les paramètres physiologiques et de production des poules pondeuses de souche ISA BROWN</t>
  </si>
  <si>
    <t>Effet des ressources alimentaires locales non conventionnelles sur les performances déterminés
Une thèse finalisée
Un mémoire de master finalisé
Une publication scientifique</t>
  </si>
  <si>
    <t>Evaluation des rations alimentaires sur les performances des volailles</t>
  </si>
  <si>
    <t>Etablir les normes nutritionnelles pour des écotypes de volailles de race locale</t>
  </si>
  <si>
    <t>Au moins trois (03) thèses entamées
Au moins trois(03) articles scientifiques 
Au moins six (06) mémoires de master finaliés</t>
  </si>
  <si>
    <t>Approvisionnement en ingrédients pour la production d'aliments de volailles</t>
  </si>
  <si>
    <t>Production de provende pour alimentation des sujets dans le cadre de la conduite des expérimentations</t>
  </si>
  <si>
    <t>Ingrédients pour la production des aliments approvisionnés</t>
  </si>
  <si>
    <t>Sous-Action 3d: Analyse socio-économique de la filière avicole</t>
  </si>
  <si>
    <t>Effet de la formation modulaire sur la performance des exploitations avicoles</t>
  </si>
  <si>
    <t xml:space="preserve"> optimisation des facteurs de production ; accompagner la politique de développement de la filière disponible ; </t>
  </si>
  <si>
    <t>Un mémoire de master</t>
  </si>
  <si>
    <t xml:space="preserve"> Analyse de l'effet du changement climatique sur la filière avicole</t>
  </si>
  <si>
    <t>Amélioration des capacités technique et organisationnelle et de management de la filière</t>
  </si>
  <si>
    <t>trois (03)  mémoires de master et une thèse de doctorat, au moins trois(03) articles</t>
  </si>
  <si>
    <t>Efficacité de la commercialisation et marchés des produits avicoles</t>
  </si>
  <si>
    <t>Etudier l'impact des flux commerciaux des volailles et produits de volailles sur le revenu des ménages</t>
  </si>
  <si>
    <t>Deux mémoires  de master et deux (02) thèse et un article scientifique</t>
  </si>
  <si>
    <t>Cartographie de la filière avicole</t>
  </si>
  <si>
    <t>Etablir la géolocalisation des exploitations avicoles au Togo</t>
  </si>
  <si>
    <t>Une communication</t>
  </si>
  <si>
    <t>Effet de covid sur le dynamisme du secteur avicole</t>
  </si>
  <si>
    <t>Analyser l'effet de Covid 19 sur la production de poulets de chair et des œufs de table, Effet de Covid sur l'importation des produits de volailles et des équipements d'élevage de volailles</t>
  </si>
  <si>
    <t>Deux mémoires et deux articles scientifiques</t>
  </si>
  <si>
    <t>Impact de l'adoption des technologies et innovation sur la filière avicole</t>
  </si>
  <si>
    <t>Etudier l'impact des technologies et innovation sur la filière</t>
  </si>
  <si>
    <t>Trois (03) mémoire master et une (01) thèse de</t>
  </si>
  <si>
    <t>Analyse du financement de la filière avicole</t>
  </si>
  <si>
    <t>Analyser les sources de  financement sur le développement de la filière avicole</t>
  </si>
  <si>
    <t>Une(01) thèse</t>
  </si>
  <si>
    <t>Sous-Action 3e: Consommables et maintenances</t>
  </si>
  <si>
    <t>Consommables de laboratoires</t>
  </si>
  <si>
    <t>Réactifs, de milieu de culture et de boite de petri, pipettes, microplaque</t>
  </si>
  <si>
    <t>Consommables de laboratoire acquis</t>
  </si>
  <si>
    <t>Œufs à couver et poussins d'un jour</t>
  </si>
  <si>
    <t>Un dispositif d'approvisionnement en œufs à couver et poussins d'un jour mis en place.</t>
  </si>
  <si>
    <t>Œufs à couver et poussins d'un jour acquis</t>
  </si>
  <si>
    <t>Produits vétérinaires</t>
  </si>
  <si>
    <t>Un dispositif d'approvisionnement en produits vétérinaires mise en place.</t>
  </si>
  <si>
    <t>Produits vétérinaires acquis</t>
  </si>
  <si>
    <t>Fourniture et installation d'oxygène médical</t>
  </si>
  <si>
    <t>Opérationnaliser la bombe calorimétrique</t>
  </si>
  <si>
    <t>Oxygène médical disponible au laboratoire</t>
  </si>
  <si>
    <t xml:space="preserve">Maintenance des équipements et matériels de laboratoire </t>
  </si>
  <si>
    <t>Rapports de travaux de recherche;  mémoires de master et publications scientifiques</t>
  </si>
  <si>
    <t>Maintenace préventive des équipements de laboratoire est faite</t>
  </si>
  <si>
    <t>Abreuvoir et mangeoire</t>
  </si>
  <si>
    <t>Acquérir des abreuvoirs et mangeoires</t>
  </si>
  <si>
    <t>x</t>
  </si>
  <si>
    <t>Abreuvoir et mangeoir acquis</t>
  </si>
  <si>
    <t>Action 4: IMPACT DE DEVELOPPEMENT\Action du DLI 2-DLI4</t>
  </si>
  <si>
    <t>Sous-Action 4a: Mise en place d'une unité d'entrepreneuriat avicole de référence</t>
  </si>
  <si>
    <t>Unité d'entrepreneuriat avicole (Mise en place d'une unité d'entrepreneuriat avicole de référence)</t>
  </si>
  <si>
    <t>Offrir un cadre de travail au startup, incubateur</t>
  </si>
  <si>
    <t xml:space="preserve">Un comité de gestion est mis en place </t>
  </si>
  <si>
    <t>Appui aux initiatives entrepreneuriales des jeunes diplômés et aux programmes d'enseignements des fellows (assistantship)</t>
  </si>
  <si>
    <t>Soutenir les étudiants candidats à l'entrepreneuriat dans la filière avicole</t>
  </si>
  <si>
    <t xml:space="preserve">Un comité de gestion est mis en place 
Des critères de sélection des bénéfiaciaires sont édictés 
Un appel à projets est lancé </t>
  </si>
  <si>
    <t>Acquisition de matériel roulant (Pick up)</t>
  </si>
  <si>
    <t>Assurer la liaison entre l'unité entreprenariat et les unités expérimentales</t>
  </si>
  <si>
    <t>Déplacements des étudiants et enseignants entre les unités expérimentales et le laboratoire assurés</t>
  </si>
  <si>
    <t>Aménagement des poulaillers de la ferme AYODELE</t>
  </si>
  <si>
    <t>Réamener les poulaillers  pour la conduite des expérimentations des étudiants du CERSA</t>
  </si>
  <si>
    <t>Poulaillers mis à la disposition du CERSA  à la ferme AYODELE aménagés</t>
  </si>
  <si>
    <t>Renforcement du transfert de technologies</t>
  </si>
  <si>
    <t xml:space="preserve">Établir l’écosystème de l’innovation et de l’entrepreneuriat universitaire grâce au renforcement du Bureau de transfert de technologie
</t>
  </si>
  <si>
    <t>transfert de technologies renforcé</t>
  </si>
  <si>
    <t>Responsable partenariat/S&amp;E</t>
  </si>
  <si>
    <t>Développement de l'ecosystème institutionnel d'innovation et de l'entrepreneuriat</t>
  </si>
  <si>
    <t>Un programme d’innovation et d’entrepreneuriat développé et offert pour les étudiants et les membres du corps professoral de chaque centre(5,3M2.1).
Organisation d’une Semaine de l’innovation initiée par le Centre sur le campus de l’Université Mise en place d’un système de prix pour un prix « Innovateur de l’année » (5,3M2.2)
 Organisation trimestrielle d’ateliers, de conférences invitées, de webinaires sur le transfert et la commercialisation de technologies</t>
  </si>
  <si>
    <t>l'ecosystème institutionnel d'innovation et de l'entrepreneuriat développé</t>
  </si>
  <si>
    <t>Coopération axée sur l'innovation dans infrastructures de recherche et collaboration avec le secteur privé</t>
  </si>
  <si>
    <t xml:space="preserve"> Développer  (ou élargir l’accès à l’installation d’essai existante) disponible pour les entreprises régionales
 Etablir un bureau de conseil en développement des affaires, y compris la mise en place d’un programme de mentorat pour les start-ups et / ou les entrepreneurs(5.3M3.2)
Développer le concept d’un incubateur sectoriel (5.3)</t>
  </si>
  <si>
    <t>Coopération axée sur l'innovation mise en place pour l'utilisation des  infrastructures de recherche et collaboration avec le secteur privé</t>
  </si>
  <si>
    <t>Séminaire de renforcement de capacités manageriales des membres des organisations professionnels avicoles</t>
  </si>
  <si>
    <t>Renforcer les capacités des organisations professionneles dans l'élaboration des plans stratégiques, lobbing et gestion des membres</t>
  </si>
  <si>
    <t>Capacités manageriales des membres des organisations professionnels avicoles renforcées</t>
  </si>
  <si>
    <t>Sous-Action 4b: Fonctionnement de l'alumni</t>
  </si>
  <si>
    <t>Edition semestrielle d'un bulletin des alumni</t>
  </si>
  <si>
    <t>Informer les acteurs clés sur la vie et les activités du CERSA </t>
  </si>
  <si>
    <t xml:space="preserve">Les deux numéros annuels du bulletin sont édités </t>
  </si>
  <si>
    <t>Directeur/SCOM/SPM/SGF</t>
  </si>
  <si>
    <t>Evaluation périodique des acquis de la formation</t>
  </si>
  <si>
    <t xml:space="preserve">Actualiser les programmes de formation </t>
  </si>
  <si>
    <t>Statistiques sur l'employabilité des diplômés du centre disponible</t>
  </si>
  <si>
    <t>Sous-Action 4c: Adoption des technologies  par les acteurs de la filière</t>
  </si>
  <si>
    <t>Human/success stories</t>
  </si>
  <si>
    <t xml:space="preserve">Avoir des aviculteurs fils conducteurs pouvant servir d'exemples au plus grand nombre </t>
  </si>
  <si>
    <t>Deux human stories sont produits</t>
  </si>
  <si>
    <t>Production d'outils et gadgets de communication</t>
  </si>
  <si>
    <t>Production de flyers, T-shirts, dépliants, bloc notes ,panneaux indicatifs et enseignes etc</t>
  </si>
  <si>
    <t>Gadgets de communication disponibles</t>
  </si>
  <si>
    <t>Production de matériels de formation et de vulgarisation des technologies selectionnées</t>
  </si>
  <si>
    <t>Vulgariser les résultats de recherche et les acquis du CERSA auprès des professionnels de la filière avicole et du grand public </t>
  </si>
  <si>
    <t>Des fiches techniques sont élaborées  
Des photos d'illustration sont disponibles</t>
  </si>
  <si>
    <t>Chef service partenariat/Chef service suivi-évaluation/SCOM</t>
  </si>
  <si>
    <t>Sous-Action 4d: Riposte à la pandemie de COVID 19</t>
  </si>
  <si>
    <t>Production de masques de protection, gel hydroalcoolique et divers pour les étudiants, enseigants et personnel</t>
  </si>
  <si>
    <t>Mettre en œuvre les mesures barrières à la COVID 19 en mettant à disposition du personnel administratif, technique et académique du gel hydroalcoolique, des masques de protection, de savon pour les dispositifs de lavage de main</t>
  </si>
  <si>
    <t>Respect des mesures barrières</t>
  </si>
  <si>
    <t>Résilience à la pandemie de covid 19</t>
  </si>
  <si>
    <t>Action 5: RENFORCEMENT DE L'ENVIRONNEMENT PEDAGOGIQUE ET DE RECHERCHE\Action du DLI 4-5</t>
  </si>
  <si>
    <t>Sous-Action 5a: Renforcement des infrastructures et équipements</t>
  </si>
  <si>
    <t>Travaux d'aménagement de la voirie du laboratoire et unités expérimentales</t>
  </si>
  <si>
    <t>Contruire la voirie qui relie le bloc pédagogique et de recherche aux différentes unités expérimentales</t>
  </si>
  <si>
    <t>Réception définitive et solde-Voirie du laboratoire et unités expérimentales réalisée</t>
  </si>
  <si>
    <t>Aménagement et entretien des infrastructures  -Réalisation des travaux de toiture de protection de la dalle du bloc pédagogique et de recherche</t>
  </si>
  <si>
    <t>Assurer l'étanchéïté de la dalle du bloc pédagogique et de recherche par une toiture</t>
  </si>
  <si>
    <t>Reception définitive et solde -Toiture de protection de la dalle du bloc pédagogique et de recherche réalisée</t>
  </si>
  <si>
    <t>Entretien et maintenance du réseau électrique et de plomberie</t>
  </si>
  <si>
    <t>Assurer l'entretien et réparation périodique des sanitaires et panne électrique du bâtiment principal et des unités expérimentales</t>
  </si>
  <si>
    <t>Réseau électrique et plomberie du bâtiment principal et des unités expérimentales entretenu</t>
  </si>
  <si>
    <t>Petits travaux de réparation et réfection</t>
  </si>
  <si>
    <t>Assurer des pétits travaux de réparation et de réfection au niveau du bâtiment principal et les unités expérimentales</t>
  </si>
  <si>
    <t>Pétits travaux de réparation et réfection réalisés</t>
  </si>
  <si>
    <t xml:space="preserve">Sous-Action 5b: Mise à l'échelle des unités </t>
  </si>
  <si>
    <t>Travaux d'aménagement du couvoir</t>
  </si>
  <si>
    <t>Aménagement du couvoir du CERSA</t>
  </si>
  <si>
    <t>Réception définitive et solde -Couvoir du CERSA réhabilité</t>
  </si>
  <si>
    <t>Aménagement de la chambre froide</t>
  </si>
  <si>
    <t>Fourniture et installation des étagères</t>
  </si>
  <si>
    <t>Etagères installées</t>
  </si>
  <si>
    <t>Mise en place d'une salle de classe intelligente</t>
  </si>
  <si>
    <t>Créer un cadre d'apprentissage et de travail propice aux activités pédagogiques virtuelles (acquisition et installation des écrans intelligents, des tableaux blancs, des ordinateurs et accessoires nécessaires)</t>
  </si>
  <si>
    <t>Salle de classe intelligente opérationnelle</t>
  </si>
  <si>
    <t>Mise à l'échelle du mini-abattoir</t>
  </si>
  <si>
    <t xml:space="preserve"> équipements complémentaires et quelques travaux d'aménagement du local</t>
  </si>
  <si>
    <t>Abattoir du CERSA mis à l'echelle</t>
  </si>
  <si>
    <t>Mise en place d'une unité de demonstration du système "PATIO"</t>
  </si>
  <si>
    <t>Fourniture, installation et mise en service du système "Patio"</t>
  </si>
  <si>
    <t>Le système "Patio" mis en place</t>
  </si>
  <si>
    <t>USD</t>
  </si>
  <si>
    <t>XOF</t>
  </si>
  <si>
    <t>Composante</t>
  </si>
  <si>
    <t>Gouvernance et fonctionnement</t>
  </si>
  <si>
    <t>Excellence de l'enseignement et formation</t>
  </si>
  <si>
    <t>Excellence dans la recherche</t>
  </si>
  <si>
    <t>Impact de développement</t>
  </si>
  <si>
    <t>Infrastructures pédagogiques et de recherche</t>
  </si>
  <si>
    <t>Total</t>
  </si>
  <si>
    <t>Master</t>
  </si>
  <si>
    <t>INSCRIPTION</t>
  </si>
  <si>
    <t>ALLOCATIONS</t>
  </si>
  <si>
    <t>LOGEMENT</t>
  </si>
  <si>
    <t>UEMOA</t>
  </si>
  <si>
    <t>HORS UEMOA</t>
  </si>
  <si>
    <t>2020 (Togo)</t>
  </si>
  <si>
    <t>Doctorat</t>
  </si>
  <si>
    <t>Maintenance équipement labo</t>
  </si>
  <si>
    <t>Tonège Sarl</t>
  </si>
  <si>
    <t>Stea</t>
  </si>
  <si>
    <t>DMA Multiservices</t>
  </si>
  <si>
    <t>Scnell Anschluss</t>
  </si>
  <si>
    <t>Matériel informatique</t>
  </si>
  <si>
    <t>Imprimantes</t>
  </si>
  <si>
    <t>ordinateurs portables</t>
  </si>
  <si>
    <t>Crédit de communication</t>
  </si>
  <si>
    <t>Etranger</t>
  </si>
  <si>
    <t>Coordonnateur</t>
  </si>
  <si>
    <t>Missions</t>
  </si>
  <si>
    <t xml:space="preserve">Agent Comptable </t>
  </si>
  <si>
    <t>indemnités</t>
  </si>
  <si>
    <t>Spécialiste en Gestion Financière</t>
  </si>
  <si>
    <t>billet</t>
  </si>
  <si>
    <t>Spécialiste en Passation de marché</t>
  </si>
  <si>
    <t>Test PCR</t>
  </si>
  <si>
    <t>Spécialiste en Communication</t>
  </si>
  <si>
    <t>Secrétaire de Direction</t>
  </si>
  <si>
    <t>Secrétaire Administrateur Civil</t>
  </si>
  <si>
    <t>secretaire Accueil</t>
  </si>
  <si>
    <t>Mision d'enseignement</t>
  </si>
  <si>
    <t xml:space="preserve">Directeur Adjoint </t>
  </si>
  <si>
    <t>Chef Service suivi- évaluation et qualité</t>
  </si>
  <si>
    <t>Chef Service Recherche et Développement</t>
  </si>
  <si>
    <t>Chef Service Formation</t>
  </si>
  <si>
    <t>Chef Service Partenariat</t>
  </si>
  <si>
    <t>Chargé d’Unité Expérimentale</t>
  </si>
  <si>
    <t>Responsable du suivi du processus d’accréditation</t>
  </si>
  <si>
    <t>Responsable Parcours Biotechnologie et Génétique Avicole</t>
  </si>
  <si>
    <t xml:space="preserve">Responsable Parcours Biosécurité et Bio sureté </t>
  </si>
  <si>
    <t>Responsable Parcours Socio-économie et Marketing de la filière</t>
  </si>
  <si>
    <t>Responsable Parcours procédés de transformation et Sécurité sanitaire des produits avicoles</t>
  </si>
  <si>
    <t>Standard</t>
  </si>
  <si>
    <t>post doc</t>
  </si>
  <si>
    <t>BUDGET (dollars)</t>
  </si>
  <si>
    <t>SEUIL</t>
  </si>
  <si>
    <t xml:space="preserve">ECART </t>
  </si>
  <si>
    <t>1.A.</t>
  </si>
  <si>
    <t>Fonctionnement  de l’administration du CERSA</t>
  </si>
  <si>
    <t>1.B</t>
  </si>
  <si>
    <t>Suivi-évaluation trimestriel de performance financière</t>
  </si>
  <si>
    <t>1.C.</t>
  </si>
  <si>
    <t>Suivi et contrôle des activités de recherche</t>
  </si>
  <si>
    <t>1.D</t>
  </si>
  <si>
    <t>Suivi semestriel des activités d’enseignement et de formation</t>
  </si>
  <si>
    <t>Sous-action 1a: Fonctionnement de l'Administration</t>
  </si>
  <si>
    <t>ACTIVITES</t>
  </si>
  <si>
    <t>DESCRIPTIONS</t>
  </si>
  <si>
    <t>ETAPES/RESULTATS</t>
  </si>
  <si>
    <t>BUDGET 2021</t>
  </si>
  <si>
    <t>REALISATION 2021</t>
  </si>
  <si>
    <t xml:space="preserve">TAUX </t>
  </si>
  <si>
    <t>BUDGET 2022(USD)</t>
  </si>
  <si>
    <t>calcul</t>
  </si>
  <si>
    <t>TACHES</t>
  </si>
  <si>
    <t>RESPONSABLES</t>
  </si>
  <si>
    <t>Publier dans le quotidien national et autres  des avis à manifestation d'intérêt, des appels d'offres, des appels à candidatures pour les formations  dans le quotidien national et autres</t>
  </si>
  <si>
    <t>-10 Appels à candidature
-10 appels d'offres</t>
  </si>
  <si>
    <t>SGF/SCOM/SPM</t>
  </si>
  <si>
    <t>Rémunérer le personnel contractuel (Spécialistes en gestion financière, en passation des marchés, en communication, post docs et techniciens de laboratoire)</t>
  </si>
  <si>
    <t>Faire les points de la feuille de route périodique</t>
  </si>
  <si>
    <t>En moyenne 100 000  f cfa/mois</t>
  </si>
  <si>
    <t>Promouvoir le CERSA dans la sous-région(visite de chancellerie des universités, média, web, etc)</t>
  </si>
  <si>
    <t>Reconduction</t>
  </si>
  <si>
    <t>Renforcer le parc informatique du centre ()</t>
  </si>
  <si>
    <t>10 ordinateurs portables et 3 imprimantes et 1 photocopieur acquis</t>
  </si>
  <si>
    <t>achat de 10 Pc à 600 000 f cfa, 03 imprimantes et 1 copieur</t>
  </si>
  <si>
    <t>Connection à la fibre optique UL et  forfait mensuel</t>
  </si>
  <si>
    <t xml:space="preserve">- Atelier de formation sur Suivi-evaluation ou Gestion financière ou Passations des marchés
-Voyage de renforcément de capacités d'une personne </t>
  </si>
  <si>
    <t>Améliorer les statistiques de visite sur  le site web www.cersa-togo.org, élaboration de la bannière</t>
  </si>
  <si>
    <t>Rapports d'audit interne, externe et de gestion publiés, statistiques de visite du site web améliorées( refonte du site web et maintenance)</t>
  </si>
  <si>
    <t xml:space="preserve">-  refonte du site 450000f cfa
- maintenance </t>
  </si>
  <si>
    <t>Abonnement Togo presse</t>
  </si>
  <si>
    <t>Carburant, assurance et maintenance</t>
  </si>
  <si>
    <t>Communication entre membres du personnel assurée</t>
  </si>
  <si>
    <t>75%  du budget 2021</t>
  </si>
  <si>
    <t>Acquisition de fournitures de bureau et consommable de fourniture</t>
  </si>
  <si>
    <t>Hygiène et propreté garanties dans les bureaux, labos et salles de classe</t>
  </si>
  <si>
    <t>3750+F18</t>
  </si>
  <si>
    <t>BUDGET 2022</t>
  </si>
  <si>
    <t>Evaluation et approbation des projets des différentes axes(thématiques) de recherche</t>
  </si>
  <si>
    <t>- Organiser des ateliers de validation de nouvelles thématiques de recherche,
- point de thèse (validation et approbation des protocoles de recherche</t>
  </si>
  <si>
    <t>Frais de publication des articles scientifiques,soutenances, colloques , journal club</t>
  </si>
  <si>
    <t>Frais de publication et édition d'article scientifique pris en charge par le centre, colloques,</t>
  </si>
  <si>
    <t>budget2021*taux réalisation</t>
  </si>
  <si>
    <t>budget2021 *50%</t>
  </si>
  <si>
    <t xml:space="preserve">COMPOSANTE 2: EXCELLENCE DANS LA FORMATION </t>
  </si>
  <si>
    <t>2A</t>
  </si>
  <si>
    <t xml:space="preserve"> Développement de programme de formation</t>
  </si>
  <si>
    <t>2B</t>
  </si>
  <si>
    <t xml:space="preserve"> Formation des étudiants en Master et Doctorat</t>
  </si>
  <si>
    <t>2C</t>
  </si>
  <si>
    <t xml:space="preserve"> Formation de courte durée</t>
  </si>
  <si>
    <t>Sous-Action 2a: Développement de programme de formation</t>
  </si>
  <si>
    <t>Calcul</t>
  </si>
  <si>
    <t>Tâches</t>
  </si>
  <si>
    <t>Développer un curriculum de 60 crédits prenant en compte tous les maillons de la filière avicole</t>
  </si>
  <si>
    <t>Développer des curricula de la formation de courte durée en marketing des produits avicoles (conservation,conditionnement, e-commerce, distribution)
 cibles:  femmes  engagées dans la  commercialisation des produits avicoles</t>
  </si>
  <si>
    <t>Impliquer les partenaires pour  une formation de qualité (seminaire thématique en biostatistique, ethique et déontologie, rédaction des articles scientifiques)</t>
  </si>
  <si>
    <t>Mettre des étudiants régionaux  dans de conditions d'études acceptables (Inscription, hebergement et allocations de subsistance pour 44 régionaux)</t>
  </si>
  <si>
    <t>Mettre des étudiants régionaux  dans des conditions d'études acceptables (inscription, hébergement et allocations de subsistance pour 28 régionaux)</t>
  </si>
  <si>
    <t>Formations modulaires spécialisées pour les professionnels de la filière</t>
  </si>
  <si>
    <t>Renforcement des capacités des aviculteurs pour implémentation des résultats des recherches (procédés de transformation, alimentation des volailles, production de poussins d'un jour, etc)</t>
  </si>
  <si>
    <t>3A</t>
  </si>
  <si>
    <t xml:space="preserve"> Techniques innovantes de productions avicoles</t>
  </si>
  <si>
    <t>3B</t>
  </si>
  <si>
    <t xml:space="preserve"> Post-récolte des produits avicoles- transformation</t>
  </si>
  <si>
    <t>3C</t>
  </si>
  <si>
    <t xml:space="preserve"> Alimentation et nutrition animale</t>
  </si>
  <si>
    <t>3D</t>
  </si>
  <si>
    <t xml:space="preserve"> Analyse socio-économique de la filière avicole</t>
  </si>
  <si>
    <t>3E</t>
  </si>
  <si>
    <t xml:space="preserve"> Consommables et maintenance</t>
  </si>
  <si>
    <t>Etudier la performance et les paramètres physiologiques en fonction des conditions environnementales</t>
  </si>
  <si>
    <t xml:space="preserve">Effets des facteurs avant, pendant et après l'incubation des œufs de volailles sur la qualité des progénitures et trois (03) mémoires de master
cinq (05) thèses entamées,trois (03) thèses finalisées </t>
  </si>
  <si>
    <t>Efficacité des substances naturelles à propriétés pré/probiotiques et médécinales déterminée
Deux publications scientifiques
Deux(02) thèses de doctorat entamées et une(01) thèse
 finalisée
quatre (04) memoires master
Un mémoire de master finalisé
Sous-produits agroindutriels à propriétés pré/probiotiques identifiés</t>
  </si>
  <si>
    <r>
      <t xml:space="preserve">Biodiversité et protection de l'espèce en voie de disparition, </t>
    </r>
    <r>
      <rPr>
        <sz val="10"/>
        <color rgb="FFFF0000"/>
        <rFont val="Tahoma"/>
        <family val="2"/>
      </rPr>
      <t>amélioration de la poule locale, caractérisation moléculaire des volailles, effet des croissement des différents génotypes des poules</t>
    </r>
  </si>
  <si>
    <t xml:space="preserve">Noyaux de parentaux de trois races de poules et d'une race de pintade mis en place
 deux (02) Mémoires de master  et trois (03) thèses </t>
  </si>
  <si>
    <t>diagnostic du système de fumage de poulet et caractéistiques des poulets fumés détermiés
-Une thèse de doctorat finalisée
-Une publication scientifique</t>
  </si>
  <si>
    <t>Revisiter les perspectives des thèses de Dr Edikou et Dr Akakpo pour définir de nouvelles thématiques</t>
  </si>
  <si>
    <t>Développement d'une technique de valorisation des sous produits avicoles (plumes…)</t>
  </si>
  <si>
    <t>Revisiter les perspectives de la thèse du Dr KPOMASSE pour définir de nouvelles thématiques</t>
  </si>
  <si>
    <t>Etudier effet de substitution dela farine de poisson par la farine d'asticotsde mouches soldates sur la performance zootechniques des volailles</t>
  </si>
  <si>
    <t>Alimentation des reproducteurs</t>
  </si>
  <si>
    <t>Etablir les normes nutritionnelles des reproducteurs en milieu tropical</t>
  </si>
  <si>
    <t>Formules alimentaires, pour les différentes phases de développement des noyaux des parentaux mis en place, établis</t>
  </si>
  <si>
    <t xml:space="preserve">Etudier le profil chimique de l'huile de palme et ses effets sur les paramètres physiologiques et de production des poules </t>
  </si>
  <si>
    <t>Prévision minimale pour 2022</t>
  </si>
  <si>
    <r>
      <t xml:space="preserve"> </t>
    </r>
    <r>
      <rPr>
        <sz val="10"/>
        <color rgb="FFFF0000"/>
        <rFont val="Tahoma"/>
        <family val="2"/>
      </rPr>
      <t>Analyse de l'effet du changement climatique sur la filière avicole</t>
    </r>
  </si>
  <si>
    <t>Analyse du financement dela filière avicole</t>
  </si>
  <si>
    <t>Un dispositif d'approvisionnement en produits vétérinaires mis en place.</t>
  </si>
  <si>
    <t>4A</t>
  </si>
  <si>
    <t xml:space="preserve"> Mise en place d'une unité d'entrepreneuriat avicole de référence</t>
  </si>
  <si>
    <t>4B</t>
  </si>
  <si>
    <t xml:space="preserve"> Fonctionnement de l'alumni</t>
  </si>
  <si>
    <t>4C</t>
  </si>
  <si>
    <t xml:space="preserve"> Adoption des technologies  par les acteurs de la filière</t>
  </si>
  <si>
    <t>4D</t>
  </si>
  <si>
    <t xml:space="preserve"> Riposte à la pandémie de COVID 19</t>
  </si>
  <si>
    <t>Préparation du PGES,
Recrutement du maître d'œuvre
Recrutement de l'entreprise</t>
  </si>
  <si>
    <t>Aménagement des poulaillers de la ferme AYEODELE</t>
  </si>
  <si>
    <t xml:space="preserve"> Établir l’écosystème de l’innovation et de l’entrepreneuriat universitaire grâce au renforcement du Bureau de transfert de technologie (BTT) (ILD5,3-M1.1)</t>
  </si>
  <si>
    <t>Acquisition de matériel informatique et mobilier de bureau pour le bureau de transfert de technologies ; Lettre de soutien des activités de BTT par l'université de Lomé, Formation/renforcement de capacité des membres du bureau de transfert de technologies ; Etablissement de lien avec c les BTT internationaux (2 : 2ie et Entrepreneuriat de UCA) ; Etablissement de collaboration avec des incubateurs, des accélérateurs et des centres technologiques  (1 :  Sanvee badja) ; Protection de brevets et autres droits de propriété intellectuelle (2 farine asticot et poudre d’oeuf). Revisiter la stratégie opérationnelle  du Bureau de Transfert de technologie Création d’un comité universitaire de la propriété intellectuelle et de l’innovation. Élaboration d’un manuel opérationnel.</t>
  </si>
  <si>
    <t>Un bureau de BTT est mis en place</t>
  </si>
  <si>
    <t>deux(02) ordinateurs , imprimante et  deux (02) bureaux</t>
  </si>
  <si>
    <t>Un programme d’innovation et d’entrepreneuriat développé et offert pour les étudiants et les membres du corps professoral de chaque centre(5,3M2.1).</t>
  </si>
  <si>
    <t>Elaboration d'un programme de formation  sur l'innovation et l'entrepreneuriat  pour les étudiants de troisième cycle de CERSA ; Formation des étudiants et  membres du corps enseignant   sur la commercialisation des résultats de recherche ; Élaboration de concepts pour toutes les catégories de subventions proposées  (4 groupes de subventions) ; Evaluation des demandes et sélection des candidats dans chaque catégories de subventions (6 projets de technologies, 4 technologies finalisées ; 3 études de marchés pour technologies, 2 technologies commercialisées.)</t>
  </si>
  <si>
    <t>Organisation d’une Semaine de l’innovation initiée par le Centre sur le campus de l’Université(5,3M2.2)</t>
  </si>
  <si>
    <t>Organisation de semaine de l'innovation (rédaction de la note conceptuelle de l'événement et organisation de l'évènement) ; mise en ligne des résultats de communications de la semaine ; organisation et distribution de prix</t>
  </si>
  <si>
    <t xml:space="preserve"> Organisation trimestrielle d’ateliers, de conférences invitées, de webinaires sur le transfert et la commercialisation de technologies</t>
  </si>
  <si>
    <t>Organisation trimestrielle d’ateliers, de conférences invitées, de webinaires sur le transfert et la commercialisation de technologies(5.3)</t>
  </si>
  <si>
    <t xml:space="preserve"> Développer  (ou élargir l’accès à l’installation d’essai existante) disponible pour les entreprises régionales</t>
  </si>
  <si>
    <t xml:space="preserve">Élaboration d’une manuelle de procédure pour l'utilisation des installations de CERSA par les entreprises régionales; Lien sur le site Web du centre vers la page de l’installation d’essai avec des détails sur l’équipement disponible </t>
  </si>
  <si>
    <t xml:space="preserve"> Etablir un bureau de conseil en développement des affaires, y compris la mise en place d’un programme de mentorat pour les start-ups et / ou les entrepreneurs(5.3M3.2)</t>
  </si>
  <si>
    <t>Élaboration d’un manuel de procédure pour l'utilisation des installations de CERSA par les entreprises régionales ; Elaboration de manuel de procédure pour rémunération des membres du corps professoral exerçant comme consultant sur les activités du centre ; Développement d'un programme de mentorat pour les start-ups et/ou les entrepreneurs du secteur du centre ; Elaboration de programme de mentorat.</t>
  </si>
  <si>
    <t>Développer le concept d’un incubateur sectoriel (5.3)</t>
  </si>
  <si>
    <t>Elaboration d'un plan d’affaires détaillé) pour un incubateur sectoriel  montrant des preuves de contribution à la proposition par le secteur privé et les partenaires universitaires et l’approbation de la direction de l’université</t>
  </si>
  <si>
    <t>Elaborer les questionnaires, collecter les informations et rédiger le rapport</t>
  </si>
  <si>
    <t>Acquisition et installation de matériels de téléconférence et de réunions interactives</t>
  </si>
  <si>
    <t>Equiper le centre de matériel de téléconférence et de réunions interactives</t>
  </si>
  <si>
    <t>Salles de conférence et de réunion équipées pour des réunion interactifs et vidéoconférences</t>
  </si>
  <si>
    <t>INFRASTRUCTURES PEDAGOGIQUES ET DE RECHERCHE</t>
  </si>
  <si>
    <t xml:space="preserve"> Renforcement des infrastructures et équipements</t>
  </si>
  <si>
    <t xml:space="preserve"> Mise à l'échelle des unités </t>
  </si>
  <si>
    <t>Voirie du laboratoire et unités expérimentales réalisée</t>
  </si>
  <si>
    <t>Toiture de protection de la dalle du bloc pédagogique et de recherche réalisée</t>
  </si>
  <si>
    <t>Camera, électricité, plaques solaires, plomberie</t>
  </si>
  <si>
    <t>Aménagement des bureaux</t>
  </si>
  <si>
    <t>Fourniture et installation de rideaux</t>
  </si>
  <si>
    <t>Rideaux installés dans les bureaux</t>
  </si>
  <si>
    <t xml:space="preserve">Mise à l'échelle des couveuses de marque PETERSIME ®   </t>
  </si>
  <si>
    <t xml:space="preserve">Fourniture et installation des équipement des couveuses de marque PETERSIME ® </t>
  </si>
  <si>
    <t>Couveuses mises à l'échelle</t>
  </si>
  <si>
    <t>Couvoir du CERSA réhabilité</t>
  </si>
  <si>
    <t>Fourniture et installation d'un tunnel de congelation et d'une chambre froide y compris des équipements complémentaires et quelques travaux d'aménagement du local</t>
  </si>
  <si>
    <t>Patio</t>
  </si>
  <si>
    <t>Signer une convention avec le HCERES en vue de l'accréditation internationale des programmes de formation du CERSA</t>
  </si>
  <si>
    <t>Accréditation internationale des programmes de formation du CERSA</t>
  </si>
  <si>
    <t>programme de formation accrédité (renouvellement  de l'accréditation internationale du master en science et auto-évaluation du programme doctoral)</t>
  </si>
  <si>
    <t>Directeur/DA/Chef service formation/ Responsable accréditation</t>
  </si>
  <si>
    <t>Recrutement d'un consultant individuel pour l'élaboration du rapport d'étude d'impact environnemental et social (EIES) des travaux de l'unité entrepreunariale avicole de référence</t>
  </si>
  <si>
    <t>Etude d'impact environnemental et social (EIES) des travaux de l'unité entrepreunariale avicole de référence</t>
  </si>
  <si>
    <t>Rapport d'étude d'impact environnemental et social (EIES) élaboré</t>
  </si>
  <si>
    <t>Offrir un cadre de travail au startup, incubateur (avance de demarrage des travaux)</t>
  </si>
  <si>
    <t>BUDGET 2023 (USD)</t>
  </si>
  <si>
    <t>BUDGET 2023 (XOF)</t>
  </si>
  <si>
    <t>01/01-12/31-2023</t>
  </si>
  <si>
    <t>2023 Y2Q1</t>
  </si>
  <si>
    <t>2023 Y2Q2</t>
  </si>
  <si>
    <t>2023 Y2Q3</t>
  </si>
  <si>
    <t>2023 Y2Q4</t>
  </si>
  <si>
    <t xml:space="preserve">EXECUTION </t>
  </si>
  <si>
    <t>BUDGET</t>
  </si>
  <si>
    <t>Conférence avicole panafricaine</t>
  </si>
  <si>
    <t>Fourniture d'oxygène médical</t>
  </si>
  <si>
    <t>Acte de la conférence produit,</t>
  </si>
  <si>
    <t>Rassembler les acteurs de la filière avicole pour échanger sur les défis  de professionnalisation , partager les résultats des recherches et vulgariser les nouvelles technologies</t>
  </si>
  <si>
    <t>Réception définitive et  solde- Abattoir du CERSA mis à l'echelle</t>
  </si>
  <si>
    <t>achat de (01) serveur</t>
  </si>
  <si>
    <t xml:space="preserve">Equipement de l'administration en matériel informatique </t>
  </si>
  <si>
    <t>RECAPITULATIF PTBA 2023</t>
  </si>
  <si>
    <t>Sous-Action 4d: Conférence avicole panafricaine</t>
  </si>
  <si>
    <t>Sélection de 10 nouveaux étudiants en doctorat
20 étudiants en fin de formation</t>
  </si>
  <si>
    <t>RENFORCEMENT DE L'ENVIRONNEMENT PEDAGIGIQUE ET DE RECHERCHE</t>
  </si>
  <si>
    <t xml:space="preserve">Publier dans le quotidien national et autres avis à manifestation d'intérêt, des appels d'offres, des appels à candidature pour les formations  </t>
  </si>
  <si>
    <t xml:space="preserve"> Avis publiés conformément aux procédures;
Transparence assurée</t>
  </si>
  <si>
    <t>Missions d'enseignement et de recherche</t>
  </si>
  <si>
    <t>Missions d'enseignement et appui à la recherche</t>
  </si>
  <si>
    <t>Au moins sept (07) cours et  trois (03)  séminiaires thématiques assurés par les partenaires académiques</t>
  </si>
  <si>
    <t>Mettre des étudiants régionaux  dans des conditions d'études acceptables (Inscription, hebergement , allocations de subsistance et assurance maladie)</t>
  </si>
  <si>
    <t>Mettre des étudiants régionaux  dans des conditions d'études acceptables (inscription, hebergement, allocations de subsistance et assurance maladie )</t>
  </si>
  <si>
    <t>Formations modulaires spécialisées pour les  professionnels et différents acteurs de la filière</t>
  </si>
  <si>
    <t>Renforcement des capacités des aviculteurs pour implémentation des résultats des recherches( procédés de transformation, alimentation des volailles, production de poussins d'un jour,</t>
  </si>
  <si>
    <t>Echanges d'étudiants avec des universités partenaires du CERSA</t>
  </si>
  <si>
    <t>20 étudiants co-formés et encadrés</t>
  </si>
  <si>
    <t>Nouveau</t>
  </si>
  <si>
    <t>Etudier l'effet de substitution de la farine de poisson par la farine d'asticotsde mouches soldates sur les performances zootechniques des volailles</t>
  </si>
  <si>
    <t>Effet de la formation modulaire sur les performances des exploitations avicoles</t>
  </si>
  <si>
    <t xml:space="preserve"> Amélioration de la poule locale, caractérisation moléculaire des volailles, effet des croisements des différents génotypes des poules</t>
  </si>
  <si>
    <t>Etude du comportement et du bien-être de la production/ reproduction avicole et  mise en évidence par voie moléculaire de géniteurs de volailles performants</t>
  </si>
  <si>
    <t>Acclimatation des poulets au froid ou à la chaleur au cours de l'embryogénèse et post eclosion</t>
  </si>
  <si>
    <t>Développer des technologies  innovantes de procédés de transformation  de produits avicoles (œufs et viandes)</t>
  </si>
  <si>
    <t>Développer un système d'alimentation des volailles en climat chaud et humide</t>
  </si>
  <si>
    <t>Etudier le profil chimique de ressoiurces alimentaires locales non conventionnelles et leurs effets sur les paramètres physiologiques et de production des volailles</t>
  </si>
  <si>
    <t xml:space="preserve">
Impact du changement climatique sur les différents maillons de la filière avicole</t>
  </si>
  <si>
    <t>156 411 992</t>
  </si>
  <si>
    <t>143 715 457</t>
  </si>
  <si>
    <t>146 452 749</t>
  </si>
  <si>
    <t>161 505 453</t>
  </si>
  <si>
    <t>BUDGET (XOF)</t>
  </si>
  <si>
    <t>Renforcer le parc informatique du centre ( serveur web HTTP avec une capacités de connection de 100 ordinateurs au moins)</t>
  </si>
  <si>
    <t>S'abonner aux journaux nationaux et internationaux</t>
  </si>
  <si>
    <t>Renforcer la capacité du personnel technique contractuel et de l'UL  en gestion de projet, suivi-évaluation, passation des marchés, en communication et en gestion financière). Les formations seront organisées avec l'appui des personnes ressources ayant de l'expertise dans les différentes thématiques. Lieu: Kpalimé (Togo)</t>
  </si>
  <si>
    <t>Co-formation et co-encadrement des étudiants avec les universités partenaires (Université Agricole de Shandong) du CERSA</t>
  </si>
  <si>
    <t xml:space="preserve">Fourniture, installation et mise en service du système "Patio"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</si>
</sst>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 #,##0.00\ &quot;€&quot;_-;\-* #,##0.00\ &quot;€&quot;_-;_-* &quot;-&quot;??\ &quot;€&quot;_-;_-@_-"/>
    <numFmt numFmtId="164" formatCode="_-* #,##0.00\ _€_-;\-* #,##0.00\ _€_-;_-* &quot;-&quot;??\ _€_-;_-@_-"/>
    <numFmt numFmtId="165" formatCode="&quot;$&quot;#,##0"/>
    <numFmt numFmtId="166" formatCode="_-* #,##0\ _€_-;\-* #,##0\ _€_-;_-* &quot;-&quot;??\ _€_-;_-@_-"/>
    <numFmt numFmtId="167" formatCode="[$$-409]#,##0_ ;\-[$$-409]#,##0\ "/>
    <numFmt numFmtId="168" formatCode="###,###,###,###,##0"/>
  </numFmts>
  <fonts count="53" x14ac:knownFonts="1">
    <font>
      <sz val="11"/>
      <color theme="1"/>
      <name val="Calibri"/>
      <family val="2"/>
      <scheme val="minor"/>
    </font>
    <font>
      <sz val="9"/>
      <color indexed="81"/>
      <name val="Tahoma"/>
      <family val="2"/>
    </font>
    <font>
      <b/>
      <sz val="9"/>
      <color indexed="81"/>
      <name val="Tahoma"/>
      <family val="2"/>
    </font>
    <font>
      <sz val="11"/>
      <color theme="1"/>
      <name val="Calibri"/>
      <family val="2"/>
      <scheme val="minor"/>
    </font>
    <font>
      <b/>
      <sz val="11"/>
      <color theme="1"/>
      <name val="Calibri"/>
      <family val="2"/>
      <scheme val="minor"/>
    </font>
    <font>
      <sz val="14"/>
      <color theme="1"/>
      <name val="Arial Narrow"/>
      <family val="2"/>
    </font>
    <font>
      <b/>
      <i/>
      <sz val="11"/>
      <color theme="1"/>
      <name val="Calibri"/>
      <family val="2"/>
      <scheme val="minor"/>
    </font>
    <font>
      <sz val="11"/>
      <color theme="1"/>
      <name val="Arial Narrow"/>
      <family val="2"/>
    </font>
    <font>
      <b/>
      <sz val="14"/>
      <color theme="1"/>
      <name val="Arial Narrow"/>
      <family val="2"/>
    </font>
    <font>
      <sz val="10"/>
      <name val="Times New Roman"/>
      <family val="1"/>
    </font>
    <font>
      <sz val="10"/>
      <name val="Calibri"/>
      <family val="2"/>
      <scheme val="minor"/>
    </font>
    <font>
      <b/>
      <sz val="10"/>
      <name val="Times New Roman"/>
      <family val="1"/>
    </font>
    <font>
      <sz val="10"/>
      <name val="Tahoma"/>
      <family val="2"/>
    </font>
    <font>
      <b/>
      <i/>
      <sz val="10"/>
      <name val="Times New Roman"/>
      <family val="1"/>
    </font>
    <font>
      <sz val="10"/>
      <name val="Arial"/>
      <family val="2"/>
    </font>
    <font>
      <sz val="10"/>
      <color theme="1"/>
      <name val="Tahoma"/>
      <family val="2"/>
    </font>
    <font>
      <b/>
      <i/>
      <sz val="10"/>
      <color theme="1"/>
      <name val="Times New Roman"/>
      <family val="1"/>
    </font>
    <font>
      <sz val="10"/>
      <color rgb="FFFF0000"/>
      <name val="Times New Roman"/>
      <family val="1"/>
    </font>
    <font>
      <sz val="10"/>
      <color rgb="FFFF0000"/>
      <name val="Tahoma"/>
      <family val="2"/>
    </font>
    <font>
      <sz val="11"/>
      <name val="Calibri"/>
      <family val="2"/>
      <scheme val="minor"/>
    </font>
    <font>
      <sz val="12"/>
      <color theme="1"/>
      <name val="Calibri"/>
      <family val="2"/>
      <scheme val="minor"/>
    </font>
    <font>
      <sz val="12"/>
      <name val="Times New Roman"/>
      <family val="1"/>
    </font>
    <font>
      <sz val="14"/>
      <color theme="1"/>
      <name val="Calibri"/>
      <family val="2"/>
      <scheme val="minor"/>
    </font>
    <font>
      <sz val="14"/>
      <name val="Times New Roman"/>
      <family val="1"/>
    </font>
    <font>
      <sz val="14"/>
      <color theme="1"/>
      <name val="Times New Roman"/>
      <family val="1"/>
    </font>
    <font>
      <b/>
      <sz val="11"/>
      <name val="Calibri"/>
      <family val="2"/>
      <scheme val="minor"/>
    </font>
    <font>
      <sz val="12"/>
      <color theme="1"/>
      <name val="Arial Narrow"/>
      <family val="2"/>
    </font>
    <font>
      <sz val="18"/>
      <color theme="1"/>
      <name val="Arial Narrow"/>
      <family val="2"/>
    </font>
    <font>
      <b/>
      <sz val="18"/>
      <color theme="1"/>
      <name val="Arial Narrow"/>
      <family val="2"/>
    </font>
    <font>
      <b/>
      <sz val="18"/>
      <color rgb="FFFF0000"/>
      <name val="Arial Narrow"/>
      <family val="2"/>
    </font>
    <font>
      <b/>
      <sz val="14"/>
      <name val="Calibri"/>
      <family val="2"/>
      <scheme val="minor"/>
    </font>
    <font>
      <sz val="14"/>
      <name val="Tahoma"/>
      <family val="2"/>
    </font>
    <font>
      <sz val="14"/>
      <color rgb="FFFF0000"/>
      <name val="Tahoma"/>
      <family val="2"/>
    </font>
    <font>
      <b/>
      <sz val="14"/>
      <name val="Tahoma"/>
      <family val="2"/>
    </font>
    <font>
      <b/>
      <sz val="14"/>
      <color theme="1"/>
      <name val="Calibri"/>
      <family val="2"/>
      <scheme val="minor"/>
    </font>
    <font>
      <sz val="11"/>
      <color rgb="FFFF0000"/>
      <name val="Arial Narrow"/>
      <family val="2"/>
    </font>
    <font>
      <b/>
      <sz val="12"/>
      <color theme="1"/>
      <name val="Calibri"/>
      <family val="2"/>
      <scheme val="minor"/>
    </font>
    <font>
      <sz val="11"/>
      <color rgb="FFFF0000"/>
      <name val="Calibri"/>
      <family val="2"/>
      <scheme val="minor"/>
    </font>
    <font>
      <sz val="11"/>
      <name val="Arial Narrow"/>
      <family val="2"/>
    </font>
    <font>
      <sz val="11"/>
      <color theme="1"/>
      <name val="Times New Roman"/>
      <family val="1"/>
    </font>
    <font>
      <b/>
      <sz val="11"/>
      <color theme="1"/>
      <name val="Times New Roman"/>
      <family val="1"/>
    </font>
    <font>
      <i/>
      <sz val="10"/>
      <name val="Calibri"/>
      <family val="2"/>
      <scheme val="minor"/>
    </font>
    <font>
      <sz val="10"/>
      <color indexed="8"/>
      <name val="Arial"/>
      <family val="2"/>
    </font>
    <font>
      <sz val="10"/>
      <color rgb="FFFF0000"/>
      <name val="Arial"/>
      <family val="2"/>
    </font>
    <font>
      <sz val="10"/>
      <color theme="9" tint="-0.249977111117893"/>
      <name val="Times New Roman"/>
      <family val="1"/>
    </font>
    <font>
      <sz val="10"/>
      <color theme="9" tint="-0.249977111117893"/>
      <name val="Tahoma"/>
      <family val="2"/>
    </font>
    <font>
      <b/>
      <i/>
      <sz val="10"/>
      <color theme="9" tint="-0.249977111117893"/>
      <name val="Times New Roman"/>
      <family val="1"/>
    </font>
    <font>
      <sz val="10"/>
      <color theme="9" tint="-0.249977111117893"/>
      <name val="Calibri"/>
      <family val="2"/>
      <scheme val="minor"/>
    </font>
    <font>
      <sz val="10"/>
      <color theme="9" tint="-0.249977111117893"/>
      <name val="Arial"/>
      <family val="2"/>
    </font>
    <font>
      <b/>
      <i/>
      <sz val="8"/>
      <name val="Times New Roman"/>
      <family val="1"/>
    </font>
    <font>
      <sz val="10"/>
      <color rgb="FFFF0000"/>
      <name val="Calibri"/>
      <family val="2"/>
      <scheme val="minor"/>
    </font>
    <font>
      <b/>
      <sz val="12"/>
      <color theme="1"/>
      <name val="Times New Roman"/>
      <family val="1"/>
    </font>
    <font>
      <sz val="9"/>
      <name val="Calibri"/>
      <family val="2"/>
      <scheme val="minor"/>
    </font>
  </fonts>
  <fills count="17">
    <fill>
      <patternFill patternType="none"/>
    </fill>
    <fill>
      <patternFill patternType="gray125"/>
    </fill>
    <fill>
      <patternFill patternType="solid">
        <fgColor rgb="FF009FDA"/>
        <bgColor indexed="64"/>
      </patternFill>
    </fill>
    <fill>
      <patternFill patternType="solid">
        <fgColor theme="8" tint="0.39997558519241921"/>
        <bgColor indexed="64"/>
      </patternFill>
    </fill>
    <fill>
      <patternFill patternType="solid">
        <fgColor theme="2" tint="-9.9978637043366805E-2"/>
        <bgColor indexed="64"/>
      </patternFill>
    </fill>
    <fill>
      <patternFill patternType="solid">
        <fgColor rgb="FF0070C0"/>
        <bgColor indexed="64"/>
      </patternFill>
    </fill>
    <fill>
      <patternFill patternType="solid">
        <fgColor rgb="FFC00000"/>
        <bgColor indexed="64"/>
      </patternFill>
    </fill>
    <fill>
      <patternFill patternType="solid">
        <fgColor theme="0"/>
        <bgColor indexed="64"/>
      </patternFill>
    </fill>
    <fill>
      <patternFill patternType="solid">
        <fgColor theme="0" tint="-0.14999847407452621"/>
        <bgColor indexed="64"/>
      </patternFill>
    </fill>
    <fill>
      <patternFill patternType="solid">
        <fgColor rgb="FFFFFF00"/>
        <bgColor indexed="64"/>
      </patternFill>
    </fill>
    <fill>
      <patternFill patternType="solid">
        <fgColor theme="9" tint="0.79998168889431442"/>
        <bgColor indexed="64"/>
      </patternFill>
    </fill>
    <fill>
      <patternFill patternType="solid">
        <fgColor theme="5" tint="0.59999389629810485"/>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theme="7" tint="0.59999389629810485"/>
        <bgColor indexed="64"/>
      </patternFill>
    </fill>
    <fill>
      <patternFill patternType="solid">
        <fgColor theme="2" tint="-0.499984740745262"/>
        <bgColor indexed="64"/>
      </patternFill>
    </fill>
    <fill>
      <patternFill patternType="solid">
        <fgColor theme="2" tint="-0.249977111117893"/>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style="thin">
        <color indexed="64"/>
      </left>
      <right style="thin">
        <color indexed="64"/>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s>
  <cellStyleXfs count="4">
    <xf numFmtId="0" fontId="0" fillId="0" borderId="0"/>
    <xf numFmtId="44" fontId="3" fillId="0" borderId="0" applyFont="0" applyFill="0" applyBorder="0" applyAlignment="0" applyProtection="0"/>
    <xf numFmtId="164" fontId="3" fillId="0" borderId="0" applyFont="0" applyFill="0" applyBorder="0" applyAlignment="0" applyProtection="0"/>
    <xf numFmtId="9" fontId="3" fillId="0" borderId="0" applyFont="0" applyFill="0" applyBorder="0" applyAlignment="0" applyProtection="0"/>
  </cellStyleXfs>
  <cellXfs count="356">
    <xf numFmtId="0" fontId="0" fillId="0" borderId="0" xfId="0"/>
    <xf numFmtId="0" fontId="0" fillId="0" borderId="0" xfId="0" applyAlignment="1">
      <alignment wrapText="1"/>
    </xf>
    <xf numFmtId="166" fontId="0" fillId="0" borderId="0" xfId="2" applyNumberFormat="1" applyFont="1"/>
    <xf numFmtId="166" fontId="0" fillId="0" borderId="0" xfId="0" applyNumberFormat="1"/>
    <xf numFmtId="0" fontId="5" fillId="0" borderId="0" xfId="0" applyFont="1"/>
    <xf numFmtId="0" fontId="5" fillId="0" borderId="0" xfId="0" applyFont="1" applyAlignment="1">
      <alignment wrapText="1"/>
    </xf>
    <xf numFmtId="166" fontId="6" fillId="0" borderId="0" xfId="2" applyNumberFormat="1" applyFont="1"/>
    <xf numFmtId="166" fontId="0" fillId="8" borderId="0" xfId="2" applyNumberFormat="1" applyFont="1" applyFill="1"/>
    <xf numFmtId="0" fontId="7" fillId="0" borderId="0" xfId="0" applyFont="1"/>
    <xf numFmtId="166" fontId="7" fillId="0" borderId="0" xfId="2" applyNumberFormat="1" applyFont="1"/>
    <xf numFmtId="0" fontId="0" fillId="0" borderId="0" xfId="0" applyAlignment="1">
      <alignment vertical="top" wrapText="1"/>
    </xf>
    <xf numFmtId="0" fontId="0" fillId="0" borderId="0" xfId="0" applyAlignment="1">
      <alignment horizontal="center" vertical="top" wrapText="1"/>
    </xf>
    <xf numFmtId="0" fontId="4" fillId="0" borderId="0" xfId="0" applyFont="1" applyAlignment="1">
      <alignment horizontal="center" vertical="top" wrapText="1"/>
    </xf>
    <xf numFmtId="0" fontId="7" fillId="0" borderId="0" xfId="0" applyFont="1" applyAlignment="1">
      <alignment vertical="top" wrapText="1"/>
    </xf>
    <xf numFmtId="166" fontId="0" fillId="0" borderId="0" xfId="2" applyNumberFormat="1" applyFont="1" applyAlignment="1">
      <alignment horizontal="center"/>
    </xf>
    <xf numFmtId="166" fontId="4" fillId="0" borderId="0" xfId="2" applyNumberFormat="1" applyFont="1" applyAlignment="1">
      <alignment horizontal="center" vertical="center"/>
    </xf>
    <xf numFmtId="166" fontId="0" fillId="0" borderId="0" xfId="2" applyNumberFormat="1" applyFont="1" applyAlignment="1">
      <alignment horizontal="center" vertical="center"/>
    </xf>
    <xf numFmtId="0" fontId="7" fillId="0" borderId="0" xfId="0" applyFont="1" applyAlignment="1">
      <alignment vertical="top"/>
    </xf>
    <xf numFmtId="0" fontId="9" fillId="0" borderId="0" xfId="0" applyFont="1"/>
    <xf numFmtId="0" fontId="9" fillId="0" borderId="4" xfId="0" applyFont="1" applyBorder="1"/>
    <xf numFmtId="0" fontId="9" fillId="0" borderId="5" xfId="0" applyFont="1" applyBorder="1"/>
    <xf numFmtId="0" fontId="9" fillId="7" borderId="0" xfId="0" applyFont="1" applyFill="1" applyAlignment="1">
      <alignment horizontal="center"/>
    </xf>
    <xf numFmtId="0" fontId="9" fillId="0" borderId="2" xfId="0" applyFont="1" applyBorder="1"/>
    <xf numFmtId="0" fontId="9" fillId="5" borderId="0" xfId="0" applyFont="1" applyFill="1" applyAlignment="1">
      <alignment horizontal="center"/>
    </xf>
    <xf numFmtId="0" fontId="9" fillId="6" borderId="0" xfId="0" applyFont="1" applyFill="1" applyAlignment="1">
      <alignment horizontal="center"/>
    </xf>
    <xf numFmtId="0" fontId="9" fillId="0" borderId="6" xfId="0" applyFont="1" applyBorder="1"/>
    <xf numFmtId="0" fontId="9" fillId="0" borderId="7" xfId="0" applyFont="1" applyBorder="1"/>
    <xf numFmtId="0" fontId="10" fillId="0" borderId="0" xfId="0" applyFont="1"/>
    <xf numFmtId="0" fontId="9" fillId="0" borderId="1" xfId="0" applyFont="1" applyBorder="1"/>
    <xf numFmtId="0" fontId="12" fillId="0" borderId="1" xfId="0" applyFont="1" applyBorder="1" applyAlignment="1">
      <alignment wrapText="1"/>
    </xf>
    <xf numFmtId="0" fontId="9" fillId="0" borderId="1" xfId="0" applyFont="1" applyBorder="1" applyAlignment="1">
      <alignment vertical="top"/>
    </xf>
    <xf numFmtId="0" fontId="12" fillId="0" borderId="1" xfId="0" applyFont="1" applyBorder="1" applyAlignment="1">
      <alignment vertical="top" wrapText="1"/>
    </xf>
    <xf numFmtId="0" fontId="9" fillId="2" borderId="1" xfId="0" applyFont="1" applyFill="1" applyBorder="1"/>
    <xf numFmtId="165" fontId="12" fillId="0" borderId="1" xfId="0" applyNumberFormat="1" applyFont="1" applyBorder="1" applyAlignment="1">
      <alignment horizontal="right" wrapText="1"/>
    </xf>
    <xf numFmtId="0" fontId="12" fillId="0" borderId="1" xfId="0" applyFont="1" applyBorder="1" applyAlignment="1">
      <alignment horizontal="left" wrapText="1"/>
    </xf>
    <xf numFmtId="165" fontId="12" fillId="0" borderId="1" xfId="0" applyNumberFormat="1" applyFont="1" applyBorder="1" applyAlignment="1">
      <alignment horizontal="right" vertical="center" wrapText="1"/>
    </xf>
    <xf numFmtId="165" fontId="14" fillId="0" borderId="1" xfId="0" applyNumberFormat="1" applyFont="1" applyBorder="1"/>
    <xf numFmtId="165" fontId="12" fillId="0" borderId="1" xfId="1" applyNumberFormat="1" applyFont="1" applyFill="1" applyBorder="1" applyAlignment="1">
      <alignment horizontal="right" wrapText="1"/>
    </xf>
    <xf numFmtId="0" fontId="9" fillId="0" borderId="1" xfId="0" applyFont="1" applyBorder="1" applyAlignment="1">
      <alignment horizontal="right" vertical="top"/>
    </xf>
    <xf numFmtId="0" fontId="12" fillId="0" borderId="1" xfId="0" applyFont="1" applyBorder="1" applyAlignment="1">
      <alignment horizontal="left" vertical="top" wrapText="1"/>
    </xf>
    <xf numFmtId="0" fontId="9" fillId="0" borderId="1" xfId="0" applyFont="1" applyBorder="1" applyAlignment="1">
      <alignment horizontal="right"/>
    </xf>
    <xf numFmtId="0" fontId="14" fillId="0" borderId="1" xfId="0" applyFont="1" applyBorder="1" applyAlignment="1">
      <alignment vertical="top" wrapText="1"/>
    </xf>
    <xf numFmtId="0" fontId="9" fillId="2" borderId="1" xfId="0" applyFont="1" applyFill="1" applyBorder="1" applyAlignment="1">
      <alignment vertical="top"/>
    </xf>
    <xf numFmtId="0" fontId="9" fillId="0" borderId="1" xfId="0" applyFont="1" applyBorder="1" applyAlignment="1">
      <alignment horizontal="center" vertical="top"/>
    </xf>
    <xf numFmtId="0" fontId="15" fillId="0" borderId="1" xfId="0" applyFont="1" applyBorder="1" applyAlignment="1">
      <alignment wrapText="1"/>
    </xf>
    <xf numFmtId="165" fontId="12" fillId="0" borderId="1" xfId="0" applyNumberFormat="1" applyFont="1" applyBorder="1" applyAlignment="1">
      <alignment horizontal="right" vertical="top" wrapText="1"/>
    </xf>
    <xf numFmtId="165" fontId="12" fillId="0" borderId="1" xfId="1" applyNumberFormat="1" applyFont="1" applyFill="1" applyBorder="1" applyAlignment="1">
      <alignment horizontal="right" vertical="top" wrapText="1"/>
    </xf>
    <xf numFmtId="0" fontId="13" fillId="0" borderId="1" xfId="0" applyFont="1" applyBorder="1" applyAlignment="1">
      <alignment horizontal="left" vertical="top"/>
    </xf>
    <xf numFmtId="0" fontId="10" fillId="0" borderId="1" xfId="0" applyFont="1" applyBorder="1"/>
    <xf numFmtId="0" fontId="17" fillId="0" borderId="1" xfId="0" applyFont="1" applyBorder="1" applyAlignment="1">
      <alignment vertical="top"/>
    </xf>
    <xf numFmtId="0" fontId="18" fillId="0" borderId="1" xfId="0" applyFont="1" applyBorder="1" applyAlignment="1">
      <alignment horizontal="left" vertical="top" wrapText="1"/>
    </xf>
    <xf numFmtId="165" fontId="18" fillId="0" borderId="1" xfId="0" applyNumberFormat="1" applyFont="1" applyBorder="1" applyAlignment="1">
      <alignment horizontal="right" vertical="top" wrapText="1"/>
    </xf>
    <xf numFmtId="166" fontId="12" fillId="0" borderId="0" xfId="2" applyNumberFormat="1" applyFont="1" applyFill="1" applyBorder="1" applyAlignment="1">
      <alignment horizontal="right" wrapText="1"/>
    </xf>
    <xf numFmtId="0" fontId="7" fillId="0" borderId="14" xfId="0" applyFont="1" applyBorder="1"/>
    <xf numFmtId="0" fontId="7" fillId="0" borderId="14" xfId="0" applyFont="1" applyBorder="1" applyAlignment="1">
      <alignment wrapText="1"/>
    </xf>
    <xf numFmtId="0" fontId="7" fillId="0" borderId="15" xfId="0" applyFont="1" applyBorder="1"/>
    <xf numFmtId="0" fontId="7" fillId="0" borderId="15" xfId="0" applyFont="1" applyBorder="1" applyAlignment="1">
      <alignment wrapText="1"/>
    </xf>
    <xf numFmtId="166" fontId="7" fillId="0" borderId="15" xfId="2" applyNumberFormat="1" applyFont="1" applyBorder="1"/>
    <xf numFmtId="0" fontId="13" fillId="0" borderId="0" xfId="0" applyFont="1"/>
    <xf numFmtId="0" fontId="13" fillId="0" borderId="0" xfId="0" applyFont="1" applyAlignment="1">
      <alignment vertical="top"/>
    </xf>
    <xf numFmtId="0" fontId="0" fillId="0" borderId="1" xfId="0" applyBorder="1"/>
    <xf numFmtId="0" fontId="0" fillId="0" borderId="0" xfId="0" applyAlignment="1">
      <alignment vertical="top"/>
    </xf>
    <xf numFmtId="0" fontId="16" fillId="0" borderId="0" xfId="0" applyFont="1" applyAlignment="1">
      <alignment vertical="top" wrapText="1"/>
    </xf>
    <xf numFmtId="0" fontId="13" fillId="0" borderId="0" xfId="0" applyFont="1" applyAlignment="1">
      <alignment vertical="top" wrapText="1"/>
    </xf>
    <xf numFmtId="166" fontId="12" fillId="0" borderId="1" xfId="2" applyNumberFormat="1" applyFont="1" applyFill="1" applyBorder="1" applyAlignment="1">
      <alignment horizontal="right" vertical="top" wrapText="1"/>
    </xf>
    <xf numFmtId="9" fontId="18" fillId="0" borderId="1" xfId="3" applyFont="1" applyFill="1" applyBorder="1" applyAlignment="1">
      <alignment horizontal="right" wrapText="1"/>
    </xf>
    <xf numFmtId="166" fontId="12" fillId="0" borderId="1" xfId="2" applyNumberFormat="1" applyFont="1" applyFill="1" applyBorder="1" applyAlignment="1">
      <alignment vertical="top" wrapText="1"/>
    </xf>
    <xf numFmtId="0" fontId="13" fillId="4" borderId="1" xfId="0" applyFont="1" applyFill="1" applyBorder="1" applyAlignment="1">
      <alignment vertical="top"/>
    </xf>
    <xf numFmtId="0" fontId="19" fillId="0" borderId="1" xfId="0" applyFont="1" applyBorder="1"/>
    <xf numFmtId="9" fontId="12" fillId="0" borderId="1" xfId="3" applyFont="1" applyFill="1" applyBorder="1" applyAlignment="1">
      <alignment horizontal="right" wrapText="1"/>
    </xf>
    <xf numFmtId="166" fontId="12" fillId="0" borderId="1" xfId="2" applyNumberFormat="1" applyFont="1" applyFill="1" applyBorder="1" applyAlignment="1">
      <alignment horizontal="right" wrapText="1"/>
    </xf>
    <xf numFmtId="0" fontId="14" fillId="0" borderId="1" xfId="0" applyFont="1" applyBorder="1" applyAlignment="1">
      <alignment horizontal="left" wrapText="1"/>
    </xf>
    <xf numFmtId="0" fontId="14" fillId="0" borderId="1" xfId="0" applyFont="1" applyBorder="1" applyAlignment="1">
      <alignment horizontal="left" vertical="top" wrapText="1"/>
    </xf>
    <xf numFmtId="0" fontId="0" fillId="0" borderId="1" xfId="0" applyBorder="1" applyAlignment="1">
      <alignment vertical="top"/>
    </xf>
    <xf numFmtId="165" fontId="0" fillId="0" borderId="1" xfId="0" applyNumberFormat="1" applyBorder="1"/>
    <xf numFmtId="166" fontId="0" fillId="0" borderId="1" xfId="0" applyNumberFormat="1" applyBorder="1"/>
    <xf numFmtId="9" fontId="0" fillId="0" borderId="1" xfId="0" applyNumberFormat="1" applyBorder="1"/>
    <xf numFmtId="9" fontId="12" fillId="0" borderId="1" xfId="3" applyFont="1" applyFill="1" applyBorder="1" applyAlignment="1">
      <alignment horizontal="right" vertical="top" wrapText="1"/>
    </xf>
    <xf numFmtId="0" fontId="5" fillId="0" borderId="1" xfId="0" applyFont="1" applyBorder="1"/>
    <xf numFmtId="0" fontId="5" fillId="0" borderId="1" xfId="0" applyFont="1" applyBorder="1" applyAlignment="1">
      <alignment wrapText="1"/>
    </xf>
    <xf numFmtId="166" fontId="5" fillId="0" borderId="1" xfId="2" applyNumberFormat="1" applyFont="1" applyBorder="1"/>
    <xf numFmtId="10" fontId="5" fillId="0" borderId="1" xfId="3" applyNumberFormat="1" applyFont="1" applyBorder="1"/>
    <xf numFmtId="0" fontId="8" fillId="0" borderId="1" xfId="0" applyFont="1" applyBorder="1" applyAlignment="1">
      <alignment wrapText="1"/>
    </xf>
    <xf numFmtId="166" fontId="8" fillId="0" borderId="1" xfId="0" applyNumberFormat="1" applyFont="1" applyBorder="1"/>
    <xf numFmtId="166" fontId="8" fillId="0" borderId="1" xfId="2" applyNumberFormat="1" applyFont="1" applyBorder="1"/>
    <xf numFmtId="10" fontId="8" fillId="0" borderId="1" xfId="3" applyNumberFormat="1" applyFont="1" applyBorder="1"/>
    <xf numFmtId="0" fontId="7" fillId="0" borderId="1" xfId="0" applyFont="1" applyBorder="1" applyAlignment="1">
      <alignment wrapText="1"/>
    </xf>
    <xf numFmtId="0" fontId="22" fillId="0" borderId="1" xfId="0" applyFont="1" applyBorder="1" applyAlignment="1">
      <alignment vertical="top"/>
    </xf>
    <xf numFmtId="0" fontId="23" fillId="0" borderId="1" xfId="0" applyFont="1" applyBorder="1" applyAlignment="1">
      <alignment vertical="top" wrapText="1"/>
    </xf>
    <xf numFmtId="0" fontId="22" fillId="0" borderId="1" xfId="0" applyFont="1" applyBorder="1"/>
    <xf numFmtId="0" fontId="24" fillId="0" borderId="1" xfId="0" applyFont="1" applyBorder="1" applyAlignment="1">
      <alignment wrapText="1"/>
    </xf>
    <xf numFmtId="0" fontId="24" fillId="0" borderId="1" xfId="0" applyFont="1" applyBorder="1" applyAlignment="1">
      <alignment vertical="top" wrapText="1"/>
    </xf>
    <xf numFmtId="0" fontId="23" fillId="0" borderId="1" xfId="0" applyFont="1" applyBorder="1" applyAlignment="1">
      <alignment wrapText="1"/>
    </xf>
    <xf numFmtId="164" fontId="0" fillId="0" borderId="0" xfId="2" applyFont="1"/>
    <xf numFmtId="166" fontId="19" fillId="0" borderId="17" xfId="2" applyNumberFormat="1" applyFont="1" applyFill="1" applyBorder="1"/>
    <xf numFmtId="166" fontId="13" fillId="0" borderId="0" xfId="2" applyNumberFormat="1" applyFont="1" applyFill="1" applyBorder="1" applyAlignment="1"/>
    <xf numFmtId="166" fontId="19" fillId="0" borderId="1" xfId="2" applyNumberFormat="1" applyFont="1" applyFill="1" applyBorder="1"/>
    <xf numFmtId="166" fontId="13" fillId="0" borderId="1" xfId="2" applyNumberFormat="1" applyFont="1" applyFill="1" applyBorder="1" applyAlignment="1"/>
    <xf numFmtId="0" fontId="4" fillId="0" borderId="1" xfId="0" applyFont="1" applyBorder="1"/>
    <xf numFmtId="166" fontId="0" fillId="0" borderId="1" xfId="2" applyNumberFormat="1" applyFont="1" applyBorder="1"/>
    <xf numFmtId="0" fontId="12" fillId="9" borderId="1" xfId="0" applyFont="1" applyFill="1" applyBorder="1" applyAlignment="1">
      <alignment vertical="top" wrapText="1"/>
    </xf>
    <xf numFmtId="165" fontId="12" fillId="9" borderId="1" xfId="0" applyNumberFormat="1" applyFont="1" applyFill="1" applyBorder="1" applyAlignment="1">
      <alignment horizontal="right" vertical="top" wrapText="1"/>
    </xf>
    <xf numFmtId="166" fontId="19" fillId="10" borderId="1" xfId="2" applyNumberFormat="1" applyFont="1" applyFill="1" applyBorder="1"/>
    <xf numFmtId="166" fontId="19" fillId="0" borderId="1" xfId="2" applyNumberFormat="1" applyFont="1" applyBorder="1"/>
    <xf numFmtId="0" fontId="4" fillId="0" borderId="0" xfId="0" applyFont="1"/>
    <xf numFmtId="166" fontId="25" fillId="0" borderId="1" xfId="2" applyNumberFormat="1" applyFont="1" applyFill="1" applyBorder="1"/>
    <xf numFmtId="166" fontId="0" fillId="0" borderId="1" xfId="2" applyNumberFormat="1" applyFont="1" applyFill="1" applyBorder="1"/>
    <xf numFmtId="0" fontId="19" fillId="0" borderId="0" xfId="0" applyFont="1"/>
    <xf numFmtId="166" fontId="19" fillId="0" borderId="0" xfId="2" applyNumberFormat="1" applyFont="1"/>
    <xf numFmtId="165" fontId="14" fillId="0" borderId="1" xfId="0" applyNumberFormat="1" applyFont="1" applyBorder="1" applyAlignment="1">
      <alignment vertical="top"/>
    </xf>
    <xf numFmtId="0" fontId="22" fillId="0" borderId="0" xfId="0" applyFont="1"/>
    <xf numFmtId="0" fontId="23" fillId="0" borderId="2" xfId="0" applyFont="1" applyBorder="1" applyAlignment="1">
      <alignment vertical="top" wrapText="1"/>
    </xf>
    <xf numFmtId="0" fontId="23" fillId="0" borderId="0" xfId="0" applyFont="1" applyAlignment="1">
      <alignment vertical="top" wrapText="1"/>
    </xf>
    <xf numFmtId="166" fontId="23" fillId="0" borderId="1" xfId="2" applyNumberFormat="1" applyFont="1" applyFill="1" applyBorder="1" applyAlignment="1">
      <alignment vertical="top" wrapText="1"/>
    </xf>
    <xf numFmtId="166" fontId="22" fillId="0" borderId="1" xfId="2" applyNumberFormat="1" applyFont="1" applyBorder="1"/>
    <xf numFmtId="166" fontId="21" fillId="0" borderId="1" xfId="2" applyNumberFormat="1" applyFont="1" applyFill="1" applyBorder="1" applyAlignment="1">
      <alignment horizontal="left" wrapText="1"/>
    </xf>
    <xf numFmtId="166" fontId="21" fillId="0" borderId="1" xfId="2" applyNumberFormat="1" applyFont="1" applyFill="1" applyBorder="1" applyAlignment="1">
      <alignment horizontal="left" vertical="top" wrapText="1"/>
    </xf>
    <xf numFmtId="166" fontId="21" fillId="0" borderId="1" xfId="2" applyNumberFormat="1" applyFont="1" applyFill="1" applyBorder="1" applyAlignment="1">
      <alignment vertical="top" wrapText="1"/>
    </xf>
    <xf numFmtId="166" fontId="20" fillId="0" borderId="0" xfId="2" applyNumberFormat="1" applyFont="1" applyFill="1"/>
    <xf numFmtId="166" fontId="20" fillId="0" borderId="0" xfId="2" applyNumberFormat="1" applyFont="1" applyFill="1" applyAlignment="1">
      <alignment wrapText="1"/>
    </xf>
    <xf numFmtId="166" fontId="20" fillId="0" borderId="1" xfId="2" applyNumberFormat="1" applyFont="1" applyFill="1" applyBorder="1"/>
    <xf numFmtId="166" fontId="26" fillId="0" borderId="1" xfId="2" applyNumberFormat="1" applyFont="1" applyBorder="1"/>
    <xf numFmtId="166" fontId="26" fillId="0" borderId="1" xfId="2" applyNumberFormat="1" applyFont="1" applyBorder="1" applyAlignment="1">
      <alignment wrapText="1"/>
    </xf>
    <xf numFmtId="166" fontId="21" fillId="0" borderId="1" xfId="2" applyNumberFormat="1" applyFont="1" applyFill="1" applyBorder="1" applyAlignment="1"/>
    <xf numFmtId="166" fontId="21" fillId="0" borderId="0" xfId="2" applyNumberFormat="1" applyFont="1" applyFill="1" applyBorder="1" applyAlignment="1"/>
    <xf numFmtId="166" fontId="21" fillId="0" borderId="1" xfId="2" applyNumberFormat="1" applyFont="1" applyFill="1" applyBorder="1" applyAlignment="1">
      <alignment vertical="top"/>
    </xf>
    <xf numFmtId="166" fontId="21" fillId="0" borderId="0" xfId="2" applyNumberFormat="1" applyFont="1" applyFill="1" applyBorder="1" applyAlignment="1">
      <alignment vertical="top"/>
    </xf>
    <xf numFmtId="166" fontId="23" fillId="0" borderId="1" xfId="2" applyNumberFormat="1" applyFont="1" applyFill="1" applyBorder="1" applyAlignment="1"/>
    <xf numFmtId="166" fontId="4" fillId="0" borderId="0" xfId="2" applyNumberFormat="1" applyFont="1"/>
    <xf numFmtId="0" fontId="27" fillId="0" borderId="15" xfId="0" applyFont="1" applyBorder="1" applyAlignment="1">
      <alignment vertical="top"/>
    </xf>
    <xf numFmtId="0" fontId="27" fillId="0" borderId="15" xfId="0" applyFont="1" applyBorder="1" applyAlignment="1">
      <alignment vertical="top" wrapText="1"/>
    </xf>
    <xf numFmtId="166" fontId="27" fillId="0" borderId="15" xfId="2" applyNumberFormat="1" applyFont="1" applyBorder="1" applyAlignment="1">
      <alignment vertical="top"/>
    </xf>
    <xf numFmtId="0" fontId="28" fillId="0" borderId="16" xfId="0" applyFont="1" applyBorder="1" applyAlignment="1">
      <alignment vertical="top"/>
    </xf>
    <xf numFmtId="0" fontId="28" fillId="0" borderId="16" xfId="0" applyFont="1" applyBorder="1" applyAlignment="1">
      <alignment vertical="top" wrapText="1"/>
    </xf>
    <xf numFmtId="166" fontId="28" fillId="0" borderId="16" xfId="0" applyNumberFormat="1" applyFont="1" applyBorder="1" applyAlignment="1">
      <alignment vertical="top"/>
    </xf>
    <xf numFmtId="166" fontId="28" fillId="0" borderId="16" xfId="2" applyNumberFormat="1" applyFont="1" applyBorder="1" applyAlignment="1">
      <alignment vertical="top"/>
    </xf>
    <xf numFmtId="166" fontId="29" fillId="0" borderId="16" xfId="0" applyNumberFormat="1" applyFont="1" applyBorder="1" applyAlignment="1">
      <alignment vertical="top"/>
    </xf>
    <xf numFmtId="166" fontId="22" fillId="0" borderId="0" xfId="2" applyNumberFormat="1" applyFont="1"/>
    <xf numFmtId="166" fontId="30" fillId="0" borderId="1" xfId="2" applyNumberFormat="1" applyFont="1" applyBorder="1"/>
    <xf numFmtId="0" fontId="23" fillId="0" borderId="1" xfId="0" applyFont="1" applyBorder="1" applyAlignment="1">
      <alignment vertical="top"/>
    </xf>
    <xf numFmtId="0" fontId="31" fillId="0" borderId="1" xfId="0" applyFont="1" applyBorder="1" applyAlignment="1">
      <alignment vertical="top" wrapText="1"/>
    </xf>
    <xf numFmtId="165" fontId="31" fillId="0" borderId="1" xfId="0" applyNumberFormat="1" applyFont="1" applyBorder="1" applyAlignment="1">
      <alignment horizontal="right" wrapText="1"/>
    </xf>
    <xf numFmtId="166" fontId="31" fillId="0" borderId="1" xfId="2" applyNumberFormat="1" applyFont="1" applyFill="1" applyBorder="1" applyAlignment="1">
      <alignment horizontal="right" wrapText="1"/>
    </xf>
    <xf numFmtId="9" fontId="32" fillId="0" borderId="1" xfId="3" applyFont="1" applyFill="1" applyBorder="1" applyAlignment="1">
      <alignment horizontal="right" wrapText="1"/>
    </xf>
    <xf numFmtId="166" fontId="33" fillId="0" borderId="1" xfId="2" applyNumberFormat="1" applyFont="1" applyFill="1" applyBorder="1" applyAlignment="1">
      <alignment horizontal="right" wrapText="1"/>
    </xf>
    <xf numFmtId="0" fontId="19" fillId="0" borderId="17" xfId="0" applyFont="1" applyBorder="1"/>
    <xf numFmtId="166" fontId="0" fillId="0" borderId="0" xfId="2" applyNumberFormat="1" applyFont="1" applyFill="1"/>
    <xf numFmtId="166" fontId="19" fillId="10" borderId="17" xfId="2" applyNumberFormat="1" applyFont="1" applyFill="1" applyBorder="1"/>
    <xf numFmtId="166" fontId="20" fillId="0" borderId="1" xfId="2" applyNumberFormat="1" applyFont="1" applyBorder="1"/>
    <xf numFmtId="165" fontId="14" fillId="0" borderId="1" xfId="0" applyNumberFormat="1" applyFont="1" applyBorder="1" applyAlignment="1">
      <alignment vertical="center"/>
    </xf>
    <xf numFmtId="166" fontId="12" fillId="0" borderId="1" xfId="2" applyNumberFormat="1" applyFont="1" applyFill="1" applyBorder="1" applyAlignment="1">
      <alignment horizontal="right" vertical="center" wrapText="1"/>
    </xf>
    <xf numFmtId="9" fontId="12" fillId="0" borderId="1" xfId="3" applyFont="1" applyFill="1" applyBorder="1" applyAlignment="1">
      <alignment horizontal="right" vertical="center" wrapText="1"/>
    </xf>
    <xf numFmtId="166" fontId="25" fillId="0" borderId="1" xfId="2" applyNumberFormat="1" applyFont="1" applyFill="1" applyBorder="1" applyAlignment="1">
      <alignment vertical="center"/>
    </xf>
    <xf numFmtId="166" fontId="25" fillId="0" borderId="0" xfId="2" applyNumberFormat="1" applyFont="1" applyFill="1" applyBorder="1"/>
    <xf numFmtId="166" fontId="25" fillId="0" borderId="0" xfId="2" applyNumberFormat="1" applyFont="1" applyFill="1" applyBorder="1" applyAlignment="1">
      <alignment vertical="center"/>
    </xf>
    <xf numFmtId="166" fontId="34" fillId="0" borderId="1" xfId="2" applyNumberFormat="1" applyFont="1" applyFill="1" applyBorder="1"/>
    <xf numFmtId="166" fontId="0" fillId="0" borderId="0" xfId="2" applyNumberFormat="1" applyFont="1" applyBorder="1"/>
    <xf numFmtId="166" fontId="18" fillId="0" borderId="0" xfId="2" applyNumberFormat="1" applyFont="1" applyFill="1" applyBorder="1" applyAlignment="1">
      <alignment horizontal="right" wrapText="1"/>
    </xf>
    <xf numFmtId="166" fontId="18" fillId="9" borderId="1" xfId="2" applyNumberFormat="1" applyFont="1" applyFill="1" applyBorder="1" applyAlignment="1">
      <alignment horizontal="right" wrapText="1"/>
    </xf>
    <xf numFmtId="0" fontId="19" fillId="0" borderId="1" xfId="0" applyFont="1" applyBorder="1" applyAlignment="1">
      <alignment vertical="top"/>
    </xf>
    <xf numFmtId="0" fontId="35" fillId="0" borderId="1" xfId="0" quotePrefix="1" applyFont="1" applyBorder="1" applyAlignment="1">
      <alignment vertical="top" wrapText="1"/>
    </xf>
    <xf numFmtId="166" fontId="36" fillId="0" borderId="1" xfId="2" applyNumberFormat="1" applyFont="1" applyFill="1" applyBorder="1"/>
    <xf numFmtId="166" fontId="36" fillId="0" borderId="1" xfId="2" applyNumberFormat="1" applyFont="1" applyFill="1" applyBorder="1" applyAlignment="1">
      <alignment wrapText="1"/>
    </xf>
    <xf numFmtId="0" fontId="15" fillId="0" borderId="1" xfId="0" applyFont="1" applyBorder="1" applyAlignment="1">
      <alignment vertical="top" wrapText="1"/>
    </xf>
    <xf numFmtId="0" fontId="0" fillId="0" borderId="2" xfId="0" applyBorder="1"/>
    <xf numFmtId="0" fontId="18" fillId="0" borderId="1" xfId="0" quotePrefix="1" applyFont="1" applyBorder="1" applyAlignment="1">
      <alignment vertical="top" wrapText="1"/>
    </xf>
    <xf numFmtId="0" fontId="37" fillId="0" borderId="0" xfId="0" applyFont="1" applyAlignment="1">
      <alignment vertical="top" wrapText="1"/>
    </xf>
    <xf numFmtId="165" fontId="12" fillId="0" borderId="1" xfId="0" applyNumberFormat="1" applyFont="1" applyBorder="1" applyAlignment="1">
      <alignment horizontal="center" vertical="top" wrapText="1"/>
    </xf>
    <xf numFmtId="166" fontId="12" fillId="0" borderId="1" xfId="2" applyNumberFormat="1" applyFont="1" applyFill="1" applyBorder="1" applyAlignment="1">
      <alignment horizontal="center" vertical="top" wrapText="1"/>
    </xf>
    <xf numFmtId="166" fontId="12" fillId="0" borderId="1" xfId="2" applyNumberFormat="1" applyFont="1" applyFill="1" applyBorder="1" applyAlignment="1">
      <alignment horizontal="center" wrapText="1"/>
    </xf>
    <xf numFmtId="0" fontId="0" fillId="0" borderId="17" xfId="0" applyBorder="1"/>
    <xf numFmtId="9" fontId="18" fillId="0" borderId="1" xfId="3" applyFont="1" applyFill="1" applyBorder="1" applyAlignment="1">
      <alignment horizontal="right" vertical="top" wrapText="1"/>
    </xf>
    <xf numFmtId="166" fontId="0" fillId="0" borderId="1" xfId="2" applyNumberFormat="1" applyFont="1" applyBorder="1" applyAlignment="1">
      <alignment vertical="top"/>
    </xf>
    <xf numFmtId="0" fontId="22" fillId="0" borderId="0" xfId="0" applyFont="1" applyAlignment="1">
      <alignment vertical="top"/>
    </xf>
    <xf numFmtId="0" fontId="0" fillId="9" borderId="0" xfId="0" applyFill="1"/>
    <xf numFmtId="166" fontId="12" fillId="9" borderId="1" xfId="2" applyNumberFormat="1" applyFont="1" applyFill="1" applyBorder="1" applyAlignment="1">
      <alignment horizontal="right" vertical="top" wrapText="1"/>
    </xf>
    <xf numFmtId="0" fontId="9" fillId="9" borderId="1" xfId="0" applyFont="1" applyFill="1" applyBorder="1" applyAlignment="1">
      <alignment vertical="top"/>
    </xf>
    <xf numFmtId="9" fontId="12" fillId="9" borderId="1" xfId="3" applyFont="1" applyFill="1" applyBorder="1" applyAlignment="1">
      <alignment horizontal="right" wrapText="1"/>
    </xf>
    <xf numFmtId="166" fontId="19" fillId="9" borderId="1" xfId="2" applyNumberFormat="1" applyFont="1" applyFill="1" applyBorder="1"/>
    <xf numFmtId="0" fontId="0" fillId="0" borderId="7" xfId="0" applyBorder="1"/>
    <xf numFmtId="166" fontId="0" fillId="0" borderId="0" xfId="2" applyNumberFormat="1" applyFont="1" applyAlignment="1">
      <alignment vertical="top"/>
    </xf>
    <xf numFmtId="0" fontId="4" fillId="0" borderId="1" xfId="0" applyFont="1" applyBorder="1" applyAlignment="1">
      <alignment vertical="top"/>
    </xf>
    <xf numFmtId="166" fontId="4" fillId="0" borderId="1" xfId="2" applyNumberFormat="1" applyFont="1" applyBorder="1" applyAlignment="1">
      <alignment vertical="top"/>
    </xf>
    <xf numFmtId="10" fontId="18" fillId="0" borderId="1" xfId="3" applyNumberFormat="1" applyFont="1" applyFill="1" applyBorder="1" applyAlignment="1">
      <alignment horizontal="right" vertical="top" wrapText="1"/>
    </xf>
    <xf numFmtId="166" fontId="18" fillId="0" borderId="1" xfId="2" applyNumberFormat="1" applyFont="1" applyFill="1" applyBorder="1" applyAlignment="1">
      <alignment horizontal="right" vertical="top" wrapText="1"/>
    </xf>
    <xf numFmtId="9" fontId="12" fillId="0" borderId="1" xfId="3" applyFont="1" applyFill="1" applyBorder="1" applyAlignment="1">
      <alignment horizontal="center" vertical="top" wrapText="1"/>
    </xf>
    <xf numFmtId="166" fontId="19" fillId="0" borderId="1" xfId="2" applyNumberFormat="1" applyFont="1" applyBorder="1" applyAlignment="1">
      <alignment horizontal="center" vertical="top"/>
    </xf>
    <xf numFmtId="166" fontId="19" fillId="0" borderId="1" xfId="2" applyNumberFormat="1" applyFont="1" applyBorder="1" applyAlignment="1">
      <alignment vertical="top"/>
    </xf>
    <xf numFmtId="0" fontId="19" fillId="0" borderId="0" xfId="0" applyFont="1" applyAlignment="1">
      <alignment wrapText="1"/>
    </xf>
    <xf numFmtId="165" fontId="19" fillId="0" borderId="1" xfId="0" applyNumberFormat="1" applyFont="1" applyBorder="1"/>
    <xf numFmtId="0" fontId="0" fillId="0" borderId="0" xfId="0" quotePrefix="1" applyAlignment="1">
      <alignment wrapText="1"/>
    </xf>
    <xf numFmtId="166" fontId="12" fillId="0" borderId="0" xfId="2" quotePrefix="1" applyNumberFormat="1" applyFont="1" applyFill="1" applyBorder="1" applyAlignment="1">
      <alignment horizontal="right" wrapText="1"/>
    </xf>
    <xf numFmtId="166" fontId="12" fillId="0" borderId="0" xfId="2" quotePrefix="1" applyNumberFormat="1" applyFont="1" applyFill="1" applyBorder="1" applyAlignment="1">
      <alignment horizontal="right" vertical="top" wrapText="1"/>
    </xf>
    <xf numFmtId="166" fontId="19" fillId="0" borderId="0" xfId="2" applyNumberFormat="1" applyFont="1" applyFill="1" applyBorder="1"/>
    <xf numFmtId="0" fontId="12" fillId="0" borderId="1" xfId="0" quotePrefix="1" applyFont="1" applyBorder="1" applyAlignment="1">
      <alignment vertical="top" wrapText="1"/>
    </xf>
    <xf numFmtId="166" fontId="19" fillId="0" borderId="0" xfId="2" applyNumberFormat="1" applyFont="1" applyFill="1"/>
    <xf numFmtId="167" fontId="12" fillId="0" borderId="1" xfId="2" applyNumberFormat="1" applyFont="1" applyFill="1" applyBorder="1" applyAlignment="1">
      <alignment horizontal="right" wrapText="1"/>
    </xf>
    <xf numFmtId="167" fontId="12" fillId="0" borderId="1" xfId="2" applyNumberFormat="1" applyFont="1" applyFill="1" applyBorder="1" applyAlignment="1">
      <alignment horizontal="right" vertical="top" wrapText="1"/>
    </xf>
    <xf numFmtId="0" fontId="9" fillId="11" borderId="1" xfId="0" applyFont="1" applyFill="1" applyBorder="1" applyAlignment="1">
      <alignment vertical="top"/>
    </xf>
    <xf numFmtId="0" fontId="12" fillId="11" borderId="1" xfId="0" applyFont="1" applyFill="1" applyBorder="1" applyAlignment="1">
      <alignment horizontal="left" vertical="top" wrapText="1"/>
    </xf>
    <xf numFmtId="165" fontId="12" fillId="11" borderId="1" xfId="1" applyNumberFormat="1" applyFont="1" applyFill="1" applyBorder="1" applyAlignment="1">
      <alignment horizontal="right" wrapText="1"/>
    </xf>
    <xf numFmtId="166" fontId="12" fillId="11" borderId="1" xfId="2" applyNumberFormat="1" applyFont="1" applyFill="1" applyBorder="1" applyAlignment="1">
      <alignment horizontal="right" vertical="top" wrapText="1"/>
    </xf>
    <xf numFmtId="166" fontId="12" fillId="11" borderId="1" xfId="2" applyNumberFormat="1" applyFont="1" applyFill="1" applyBorder="1" applyAlignment="1">
      <alignment vertical="top" wrapText="1"/>
    </xf>
    <xf numFmtId="9" fontId="12" fillId="11" borderId="1" xfId="3" applyFont="1" applyFill="1" applyBorder="1" applyAlignment="1">
      <alignment horizontal="right" wrapText="1"/>
    </xf>
    <xf numFmtId="166" fontId="19" fillId="11" borderId="1" xfId="2" applyNumberFormat="1" applyFont="1" applyFill="1" applyBorder="1"/>
    <xf numFmtId="166" fontId="19" fillId="0" borderId="1" xfId="2" applyNumberFormat="1" applyFont="1" applyFill="1" applyBorder="1" applyAlignment="1">
      <alignment vertical="top"/>
    </xf>
    <xf numFmtId="0" fontId="0" fillId="11" borderId="0" xfId="0" applyFill="1"/>
    <xf numFmtId="0" fontId="12" fillId="11" borderId="1" xfId="0" applyFont="1" applyFill="1" applyBorder="1" applyAlignment="1">
      <alignment vertical="top" wrapText="1"/>
    </xf>
    <xf numFmtId="165" fontId="12" fillId="11" borderId="1" xfId="1" applyNumberFormat="1" applyFont="1" applyFill="1" applyBorder="1" applyAlignment="1">
      <alignment horizontal="right" vertical="top" wrapText="1"/>
    </xf>
    <xf numFmtId="166" fontId="19" fillId="11" borderId="1" xfId="2" applyNumberFormat="1" applyFont="1" applyFill="1" applyBorder="1" applyAlignment="1">
      <alignment vertical="top"/>
    </xf>
    <xf numFmtId="0" fontId="12" fillId="0" borderId="12" xfId="0" applyFont="1" applyBorder="1" applyAlignment="1">
      <alignment horizontal="left" vertical="top" wrapText="1"/>
    </xf>
    <xf numFmtId="0" fontId="9" fillId="2" borderId="12" xfId="0" applyFont="1" applyFill="1" applyBorder="1"/>
    <xf numFmtId="0" fontId="9" fillId="0" borderId="12" xfId="0" applyFont="1" applyBorder="1"/>
    <xf numFmtId="165" fontId="12" fillId="0" borderId="12" xfId="1" applyNumberFormat="1" applyFont="1" applyFill="1" applyBorder="1" applyAlignment="1">
      <alignment horizontal="right" wrapText="1"/>
    </xf>
    <xf numFmtId="165" fontId="12" fillId="0" borderId="1" xfId="0" applyNumberFormat="1" applyFont="1" applyBorder="1" applyAlignment="1">
      <alignment horizontal="left" vertical="top" wrapText="1"/>
    </xf>
    <xf numFmtId="0" fontId="38" fillId="0" borderId="1" xfId="0" quotePrefix="1" applyFont="1" applyBorder="1" applyAlignment="1">
      <alignment vertical="top" wrapText="1"/>
    </xf>
    <xf numFmtId="0" fontId="12" fillId="0" borderId="0" xfId="0" applyFont="1" applyAlignment="1">
      <alignment wrapText="1"/>
    </xf>
    <xf numFmtId="0" fontId="10" fillId="0" borderId="1" xfId="0" applyFont="1" applyBorder="1" applyAlignment="1">
      <alignment vertical="top"/>
    </xf>
    <xf numFmtId="0" fontId="12" fillId="0" borderId="0" xfId="0" applyFont="1" applyAlignment="1">
      <alignment vertical="top" wrapText="1"/>
    </xf>
    <xf numFmtId="0" fontId="12" fillId="0" borderId="11" xfId="0" applyFont="1" applyBorder="1" applyAlignment="1">
      <alignment horizontal="left" vertical="top" wrapText="1"/>
    </xf>
    <xf numFmtId="0" fontId="39" fillId="0" borderId="0" xfId="0" applyFont="1"/>
    <xf numFmtId="0" fontId="39" fillId="0" borderId="0" xfId="0" applyFont="1" applyAlignment="1">
      <alignment wrapText="1"/>
    </xf>
    <xf numFmtId="0" fontId="39" fillId="0" borderId="1" xfId="0" applyFont="1" applyBorder="1"/>
    <xf numFmtId="0" fontId="39" fillId="0" borderId="1" xfId="0" applyFont="1" applyBorder="1" applyAlignment="1">
      <alignment wrapText="1"/>
    </xf>
    <xf numFmtId="166" fontId="39" fillId="0" borderId="1" xfId="2" applyNumberFormat="1" applyFont="1" applyBorder="1"/>
    <xf numFmtId="10" fontId="39" fillId="0" borderId="1" xfId="3" applyNumberFormat="1" applyFont="1" applyBorder="1"/>
    <xf numFmtId="9" fontId="39" fillId="0" borderId="1" xfId="3" applyFont="1" applyBorder="1"/>
    <xf numFmtId="0" fontId="40" fillId="0" borderId="1" xfId="0" applyFont="1" applyBorder="1"/>
    <xf numFmtId="0" fontId="40" fillId="0" borderId="0" xfId="0" applyFont="1"/>
    <xf numFmtId="0" fontId="9" fillId="0" borderId="0" xfId="0" applyFont="1" applyAlignment="1">
      <alignment horizontal="center"/>
    </xf>
    <xf numFmtId="0" fontId="9" fillId="0" borderId="1" xfId="0" applyFont="1" applyBorder="1" applyAlignment="1">
      <alignment horizontal="center"/>
    </xf>
    <xf numFmtId="0" fontId="10" fillId="0" borderId="0" xfId="0" applyFont="1" applyAlignment="1">
      <alignment vertical="top"/>
    </xf>
    <xf numFmtId="0" fontId="41" fillId="0" borderId="0" xfId="0" applyFont="1"/>
    <xf numFmtId="165" fontId="10" fillId="0" borderId="0" xfId="0" applyNumberFormat="1" applyFont="1"/>
    <xf numFmtId="164" fontId="39" fillId="0" borderId="0" xfId="2" applyFont="1"/>
    <xf numFmtId="166" fontId="39" fillId="0" borderId="0" xfId="2" applyNumberFormat="1" applyFont="1"/>
    <xf numFmtId="166" fontId="39" fillId="0" borderId="0" xfId="0" applyNumberFormat="1" applyFont="1"/>
    <xf numFmtId="9" fontId="39" fillId="0" borderId="0" xfId="3" applyFont="1"/>
    <xf numFmtId="166" fontId="12" fillId="0" borderId="1" xfId="2" applyNumberFormat="1" applyFont="1" applyBorder="1" applyAlignment="1">
      <alignment vertical="top" wrapText="1"/>
    </xf>
    <xf numFmtId="166" fontId="12" fillId="0" borderId="1" xfId="2" applyNumberFormat="1" applyFont="1" applyBorder="1" applyAlignment="1">
      <alignment horizontal="right" wrapText="1"/>
    </xf>
    <xf numFmtId="0" fontId="9" fillId="0" borderId="9" xfId="0" applyFont="1" applyBorder="1" applyAlignment="1">
      <alignment horizontal="center" wrapText="1"/>
    </xf>
    <xf numFmtId="0" fontId="9" fillId="0" borderId="10" xfId="0" applyFont="1" applyBorder="1" applyAlignment="1">
      <alignment horizontal="center" wrapText="1"/>
    </xf>
    <xf numFmtId="0" fontId="12" fillId="0" borderId="12" xfId="0" applyFont="1" applyBorder="1" applyAlignment="1">
      <alignment vertical="top" wrapText="1"/>
    </xf>
    <xf numFmtId="168" fontId="42" fillId="4" borderId="18" xfId="0" applyNumberFormat="1" applyFont="1" applyFill="1" applyBorder="1" applyAlignment="1">
      <alignment horizontal="right" vertical="center"/>
    </xf>
    <xf numFmtId="168" fontId="42" fillId="12" borderId="18" xfId="0" applyNumberFormat="1" applyFont="1" applyFill="1" applyBorder="1" applyAlignment="1">
      <alignment horizontal="right" vertical="center"/>
    </xf>
    <xf numFmtId="168" fontId="42" fillId="13" borderId="18" xfId="0" applyNumberFormat="1" applyFont="1" applyFill="1" applyBorder="1" applyAlignment="1">
      <alignment horizontal="right" vertical="center"/>
    </xf>
    <xf numFmtId="168" fontId="42" fillId="14" borderId="18" xfId="0" applyNumberFormat="1" applyFont="1" applyFill="1" applyBorder="1" applyAlignment="1">
      <alignment horizontal="right" vertical="center"/>
    </xf>
    <xf numFmtId="166" fontId="12" fillId="0" borderId="1" xfId="2" applyNumberFormat="1" applyFont="1" applyFill="1" applyBorder="1" applyAlignment="1">
      <alignment horizontal="center" vertical="center" wrapText="1"/>
    </xf>
    <xf numFmtId="166" fontId="12" fillId="0" borderId="0" xfId="2" applyNumberFormat="1" applyFont="1" applyBorder="1" applyAlignment="1">
      <alignment horizontal="center" vertical="center" wrapText="1"/>
    </xf>
    <xf numFmtId="166" fontId="12" fillId="0" borderId="1" xfId="2" applyNumberFormat="1" applyFont="1" applyBorder="1" applyAlignment="1">
      <alignment horizontal="center" vertical="center" wrapText="1"/>
    </xf>
    <xf numFmtId="166" fontId="14" fillId="0" borderId="1" xfId="2" applyNumberFormat="1" applyFont="1" applyBorder="1"/>
    <xf numFmtId="166" fontId="12" fillId="0" borderId="12" xfId="2" applyNumberFormat="1" applyFont="1" applyBorder="1" applyAlignment="1">
      <alignment vertical="top" wrapText="1"/>
    </xf>
    <xf numFmtId="166" fontId="12" fillId="0" borderId="1" xfId="2" applyNumberFormat="1" applyFont="1" applyBorder="1" applyAlignment="1">
      <alignment horizontal="right" vertical="top" wrapText="1"/>
    </xf>
    <xf numFmtId="166" fontId="12" fillId="13" borderId="1" xfId="2" applyNumberFormat="1" applyFont="1" applyFill="1" applyBorder="1" applyAlignment="1">
      <alignment vertical="top" wrapText="1"/>
    </xf>
    <xf numFmtId="166" fontId="12" fillId="13" borderId="1" xfId="2" applyNumberFormat="1" applyFont="1" applyFill="1" applyBorder="1" applyAlignment="1">
      <alignment horizontal="right" vertical="top" wrapText="1"/>
    </xf>
    <xf numFmtId="0" fontId="12" fillId="13" borderId="1" xfId="0" applyFont="1" applyFill="1" applyBorder="1" applyAlignment="1">
      <alignment vertical="top" wrapText="1"/>
    </xf>
    <xf numFmtId="166" fontId="12" fillId="12" borderId="1" xfId="2" applyNumberFormat="1" applyFont="1" applyFill="1" applyBorder="1" applyAlignment="1">
      <alignment vertical="top" wrapText="1"/>
    </xf>
    <xf numFmtId="166" fontId="10" fillId="0" borderId="0" xfId="0" applyNumberFormat="1" applyFont="1"/>
    <xf numFmtId="0" fontId="17" fillId="15" borderId="1" xfId="0" applyFont="1" applyFill="1" applyBorder="1" applyAlignment="1">
      <alignment vertical="top"/>
    </xf>
    <xf numFmtId="0" fontId="18" fillId="15" borderId="1" xfId="0" applyFont="1" applyFill="1" applyBorder="1" applyAlignment="1">
      <alignment vertical="top" wrapText="1"/>
    </xf>
    <xf numFmtId="0" fontId="17" fillId="15" borderId="1" xfId="0" applyFont="1" applyFill="1" applyBorder="1"/>
    <xf numFmtId="0" fontId="17" fillId="15" borderId="1" xfId="0" applyFont="1" applyFill="1" applyBorder="1" applyAlignment="1">
      <alignment horizontal="center"/>
    </xf>
    <xf numFmtId="165" fontId="18" fillId="15" borderId="1" xfId="0" applyNumberFormat="1" applyFont="1" applyFill="1" applyBorder="1" applyAlignment="1">
      <alignment horizontal="right" wrapText="1"/>
    </xf>
    <xf numFmtId="166" fontId="43" fillId="15" borderId="1" xfId="2" applyNumberFormat="1" applyFont="1" applyFill="1" applyBorder="1"/>
    <xf numFmtId="168" fontId="43" fillId="15" borderId="18" xfId="0" applyNumberFormat="1" applyFont="1" applyFill="1" applyBorder="1" applyAlignment="1">
      <alignment horizontal="right" vertical="center"/>
    </xf>
    <xf numFmtId="0" fontId="9" fillId="0" borderId="9" xfId="0" applyFont="1" applyBorder="1" applyAlignment="1">
      <alignment vertical="top"/>
    </xf>
    <xf numFmtId="0" fontId="12" fillId="0" borderId="4" xfId="0" applyFont="1" applyBorder="1" applyAlignment="1">
      <alignment horizontal="left" vertical="top" wrapText="1"/>
    </xf>
    <xf numFmtId="0" fontId="12" fillId="0" borderId="5" xfId="0" applyFont="1" applyBorder="1" applyAlignment="1">
      <alignment horizontal="left" vertical="top" wrapText="1"/>
    </xf>
    <xf numFmtId="0" fontId="13" fillId="0" borderId="9" xfId="0" applyFont="1" applyBorder="1" applyAlignment="1">
      <alignment horizontal="left" vertical="top"/>
    </xf>
    <xf numFmtId="0" fontId="9" fillId="2" borderId="9" xfId="0" applyFont="1" applyFill="1" applyBorder="1" applyAlignment="1">
      <alignment vertical="top"/>
    </xf>
    <xf numFmtId="0" fontId="9" fillId="0" borderId="9" xfId="0" applyFont="1" applyBorder="1" applyAlignment="1">
      <alignment horizontal="center" vertical="top"/>
    </xf>
    <xf numFmtId="0" fontId="12" fillId="0" borderId="9" xfId="0" applyFont="1" applyBorder="1" applyAlignment="1">
      <alignment horizontal="left" vertical="top" wrapText="1"/>
    </xf>
    <xf numFmtId="165" fontId="12" fillId="0" borderId="9" xfId="0" applyNumberFormat="1" applyFont="1" applyBorder="1" applyAlignment="1">
      <alignment horizontal="right" vertical="top" wrapText="1"/>
    </xf>
    <xf numFmtId="166" fontId="12" fillId="0" borderId="9" xfId="2" applyNumberFormat="1" applyFont="1" applyFill="1" applyBorder="1" applyAlignment="1">
      <alignment horizontal="right" wrapText="1"/>
    </xf>
    <xf numFmtId="168" fontId="42" fillId="12" borderId="19" xfId="0" applyNumberFormat="1" applyFont="1" applyFill="1" applyBorder="1" applyAlignment="1">
      <alignment horizontal="right" vertical="center"/>
    </xf>
    <xf numFmtId="166" fontId="12" fillId="0" borderId="9" xfId="2" applyNumberFormat="1" applyFont="1" applyBorder="1" applyAlignment="1">
      <alignment vertical="top" wrapText="1"/>
    </xf>
    <xf numFmtId="0" fontId="12" fillId="0" borderId="9" xfId="0" applyFont="1" applyBorder="1" applyAlignment="1">
      <alignment vertical="top" wrapText="1"/>
    </xf>
    <xf numFmtId="0" fontId="44" fillId="0" borderId="1" xfId="0" applyFont="1" applyBorder="1" applyAlignment="1">
      <alignment vertical="top"/>
    </xf>
    <xf numFmtId="0" fontId="45" fillId="0" borderId="1" xfId="0" applyFont="1" applyBorder="1" applyAlignment="1">
      <alignment horizontal="left" vertical="top" wrapText="1"/>
    </xf>
    <xf numFmtId="0" fontId="46" fillId="0" borderId="1" xfId="0" applyFont="1" applyBorder="1" applyAlignment="1">
      <alignment horizontal="left" vertical="top"/>
    </xf>
    <xf numFmtId="0" fontId="44" fillId="2" borderId="1" xfId="0" applyFont="1" applyFill="1" applyBorder="1" applyAlignment="1">
      <alignment vertical="top"/>
    </xf>
    <xf numFmtId="0" fontId="44" fillId="0" borderId="1" xfId="0" applyFont="1" applyBorder="1" applyAlignment="1">
      <alignment horizontal="center" vertical="top"/>
    </xf>
    <xf numFmtId="0" fontId="47" fillId="0" borderId="1" xfId="0" applyFont="1" applyBorder="1"/>
    <xf numFmtId="165" fontId="45" fillId="0" borderId="1" xfId="0" applyNumberFormat="1" applyFont="1" applyBorder="1" applyAlignment="1">
      <alignment horizontal="right" vertical="top" wrapText="1"/>
    </xf>
    <xf numFmtId="166" fontId="45" fillId="0" borderId="1" xfId="2" applyNumberFormat="1" applyFont="1" applyFill="1" applyBorder="1" applyAlignment="1">
      <alignment horizontal="right" wrapText="1"/>
    </xf>
    <xf numFmtId="168" fontId="48" fillId="12" borderId="1" xfId="0" applyNumberFormat="1" applyFont="1" applyFill="1" applyBorder="1" applyAlignment="1">
      <alignment horizontal="right" vertical="center"/>
    </xf>
    <xf numFmtId="166" fontId="45" fillId="0" borderId="1" xfId="2" applyNumberFormat="1" applyFont="1" applyBorder="1" applyAlignment="1">
      <alignment vertical="top" wrapText="1"/>
    </xf>
    <xf numFmtId="0" fontId="48" fillId="0" borderId="1" xfId="0" applyFont="1" applyBorder="1" applyAlignment="1">
      <alignment vertical="top" wrapText="1"/>
    </xf>
    <xf numFmtId="0" fontId="45" fillId="0" borderId="1" xfId="0" applyFont="1" applyBorder="1" applyAlignment="1">
      <alignment vertical="top" wrapText="1"/>
    </xf>
    <xf numFmtId="166" fontId="45" fillId="0" borderId="1" xfId="2" applyNumberFormat="1" applyFont="1" applyFill="1" applyBorder="1" applyAlignment="1">
      <alignment vertical="top" wrapText="1"/>
    </xf>
    <xf numFmtId="0" fontId="18" fillId="0" borderId="1" xfId="0" applyFont="1" applyBorder="1" applyAlignment="1">
      <alignment vertical="top" wrapText="1"/>
    </xf>
    <xf numFmtId="0" fontId="17" fillId="2" borderId="1" xfId="0" applyFont="1" applyFill="1" applyBorder="1" applyAlignment="1">
      <alignment vertical="top"/>
    </xf>
    <xf numFmtId="0" fontId="17" fillId="0" borderId="1" xfId="0" applyFont="1" applyBorder="1" applyAlignment="1">
      <alignment horizontal="center" vertical="top"/>
    </xf>
    <xf numFmtId="165" fontId="18" fillId="0" borderId="1" xfId="1" applyNumberFormat="1" applyFont="1" applyFill="1" applyBorder="1" applyAlignment="1">
      <alignment horizontal="right" vertical="top" wrapText="1"/>
    </xf>
    <xf numFmtId="166" fontId="18" fillId="0" borderId="1" xfId="2" applyNumberFormat="1" applyFont="1" applyFill="1" applyBorder="1" applyAlignment="1">
      <alignment horizontal="right" wrapText="1"/>
    </xf>
    <xf numFmtId="0" fontId="43" fillId="0" borderId="1" xfId="0" applyFont="1" applyBorder="1" applyAlignment="1">
      <alignment vertical="top" wrapText="1"/>
    </xf>
    <xf numFmtId="166" fontId="49" fillId="0" borderId="1" xfId="0" applyNumberFormat="1" applyFont="1" applyBorder="1" applyAlignment="1">
      <alignment horizontal="left" vertical="top"/>
    </xf>
    <xf numFmtId="168" fontId="43" fillId="13" borderId="18" xfId="0" applyNumberFormat="1" applyFont="1" applyFill="1" applyBorder="1" applyAlignment="1">
      <alignment horizontal="right" vertical="center"/>
    </xf>
    <xf numFmtId="166" fontId="18" fillId="0" borderId="1" xfId="2" applyNumberFormat="1" applyFont="1" applyBorder="1" applyAlignment="1">
      <alignment vertical="top" wrapText="1"/>
    </xf>
    <xf numFmtId="166" fontId="18" fillId="13" borderId="1" xfId="2" applyNumberFormat="1" applyFont="1" applyFill="1" applyBorder="1" applyAlignment="1">
      <alignment vertical="top" wrapText="1"/>
    </xf>
    <xf numFmtId="0" fontId="18" fillId="0" borderId="1" xfId="2" applyNumberFormat="1" applyFont="1" applyBorder="1" applyAlignment="1">
      <alignment vertical="top" wrapText="1"/>
    </xf>
    <xf numFmtId="0" fontId="17" fillId="2" borderId="1" xfId="0" applyFont="1" applyFill="1" applyBorder="1"/>
    <xf numFmtId="168" fontId="43" fillId="14" borderId="18" xfId="0" applyNumberFormat="1" applyFont="1" applyFill="1" applyBorder="1" applyAlignment="1">
      <alignment horizontal="right" vertical="center"/>
    </xf>
    <xf numFmtId="0" fontId="17" fillId="0" borderId="1" xfId="0" applyFont="1" applyBorder="1" applyAlignment="1">
      <alignment horizontal="center"/>
    </xf>
    <xf numFmtId="0" fontId="18" fillId="0" borderId="1" xfId="0" applyFont="1" applyBorder="1" applyAlignment="1">
      <alignment horizontal="left" wrapText="1"/>
    </xf>
    <xf numFmtId="165" fontId="18" fillId="0" borderId="1" xfId="1" applyNumberFormat="1" applyFont="1" applyFill="1" applyBorder="1" applyAlignment="1">
      <alignment horizontal="right" wrapText="1"/>
    </xf>
    <xf numFmtId="166" fontId="18" fillId="0" borderId="1" xfId="2" applyNumberFormat="1" applyFont="1" applyBorder="1" applyAlignment="1">
      <alignment horizontal="right" wrapText="1"/>
    </xf>
    <xf numFmtId="0" fontId="50" fillId="0" borderId="1" xfId="0" applyFont="1" applyBorder="1" applyAlignment="1">
      <alignment vertical="top"/>
    </xf>
    <xf numFmtId="167" fontId="12" fillId="0" borderId="1" xfId="2" applyNumberFormat="1" applyFont="1" applyFill="1" applyBorder="1" applyAlignment="1">
      <alignment horizontal="center" vertical="center" wrapText="1"/>
    </xf>
    <xf numFmtId="165" fontId="12" fillId="0" borderId="1" xfId="0" applyNumberFormat="1" applyFont="1" applyBorder="1" applyAlignment="1">
      <alignment horizontal="center" vertical="center" wrapText="1"/>
    </xf>
    <xf numFmtId="165" fontId="14" fillId="0" borderId="1" xfId="0" applyNumberFormat="1" applyFont="1" applyBorder="1" applyAlignment="1">
      <alignment horizontal="center" vertical="center"/>
    </xf>
    <xf numFmtId="166" fontId="12" fillId="0" borderId="1" xfId="2" applyNumberFormat="1" applyFont="1" applyBorder="1" applyAlignment="1">
      <alignment vertical="center" wrapText="1"/>
    </xf>
    <xf numFmtId="165" fontId="12" fillId="0" borderId="1" xfId="1" applyNumberFormat="1" applyFont="1" applyFill="1" applyBorder="1" applyAlignment="1">
      <alignment horizontal="center" vertical="center" wrapText="1"/>
    </xf>
    <xf numFmtId="166" fontId="12" fillId="0" borderId="12" xfId="2" applyNumberFormat="1" applyFont="1" applyBorder="1" applyAlignment="1">
      <alignment horizontal="center" vertical="center" wrapText="1"/>
    </xf>
    <xf numFmtId="0" fontId="9" fillId="0" borderId="1" xfId="0" applyFont="1" applyBorder="1" applyAlignment="1">
      <alignment horizontal="center" vertical="center"/>
    </xf>
    <xf numFmtId="0" fontId="51" fillId="0" borderId="20" xfId="0" applyFont="1" applyBorder="1" applyAlignment="1">
      <alignment horizontal="center" vertical="center" wrapText="1"/>
    </xf>
    <xf numFmtId="0" fontId="51" fillId="0" borderId="21" xfId="0" applyFont="1" applyBorder="1" applyAlignment="1">
      <alignment horizontal="center" vertical="center" wrapText="1"/>
    </xf>
    <xf numFmtId="3" fontId="52" fillId="0" borderId="0" xfId="0" applyNumberFormat="1" applyFont="1"/>
    <xf numFmtId="0" fontId="13" fillId="4" borderId="1" xfId="0" applyFont="1" applyFill="1" applyBorder="1" applyAlignment="1">
      <alignment horizontal="left" vertical="top"/>
    </xf>
    <xf numFmtId="0" fontId="11" fillId="3" borderId="1" xfId="0" applyFont="1" applyFill="1" applyBorder="1" applyAlignment="1">
      <alignment horizontal="left" vertical="top"/>
    </xf>
    <xf numFmtId="0" fontId="13" fillId="4" borderId="11" xfId="0" applyFont="1" applyFill="1" applyBorder="1" applyAlignment="1">
      <alignment horizontal="left"/>
    </xf>
    <xf numFmtId="0" fontId="13" fillId="4" borderId="12" xfId="0" applyFont="1" applyFill="1" applyBorder="1" applyAlignment="1">
      <alignment horizontal="left"/>
    </xf>
    <xf numFmtId="0" fontId="13" fillId="4" borderId="13" xfId="0" applyFont="1" applyFill="1" applyBorder="1" applyAlignment="1">
      <alignment horizontal="left"/>
    </xf>
    <xf numFmtId="0" fontId="11" fillId="3" borderId="11" xfId="0" applyFont="1" applyFill="1" applyBorder="1" applyAlignment="1">
      <alignment horizontal="left"/>
    </xf>
    <xf numFmtId="0" fontId="11" fillId="3" borderId="12" xfId="0" applyFont="1" applyFill="1" applyBorder="1" applyAlignment="1">
      <alignment horizontal="left"/>
    </xf>
    <xf numFmtId="0" fontId="11" fillId="3" borderId="13" xfId="0" applyFont="1" applyFill="1" applyBorder="1" applyAlignment="1">
      <alignment horizontal="left"/>
    </xf>
    <xf numFmtId="0" fontId="13" fillId="4" borderId="11" xfId="0" applyFont="1" applyFill="1" applyBorder="1" applyAlignment="1">
      <alignment horizontal="left" vertical="top"/>
    </xf>
    <xf numFmtId="0" fontId="13" fillId="4" borderId="12" xfId="0" applyFont="1" applyFill="1" applyBorder="1" applyAlignment="1">
      <alignment horizontal="left" vertical="top"/>
    </xf>
    <xf numFmtId="0" fontId="13" fillId="4" borderId="13" xfId="0" applyFont="1" applyFill="1" applyBorder="1" applyAlignment="1">
      <alignment horizontal="left" vertical="top"/>
    </xf>
    <xf numFmtId="0" fontId="11" fillId="3" borderId="11" xfId="0" applyFont="1" applyFill="1" applyBorder="1" applyAlignment="1">
      <alignment horizontal="left" vertical="top"/>
    </xf>
    <xf numFmtId="0" fontId="11" fillId="3" borderId="12" xfId="0" applyFont="1" applyFill="1" applyBorder="1" applyAlignment="1">
      <alignment horizontal="left" vertical="top"/>
    </xf>
    <xf numFmtId="0" fontId="11" fillId="3" borderId="13" xfId="0" applyFont="1" applyFill="1" applyBorder="1" applyAlignment="1">
      <alignment horizontal="left" vertical="top"/>
    </xf>
    <xf numFmtId="0" fontId="11" fillId="3" borderId="1" xfId="0" applyFont="1" applyFill="1" applyBorder="1" applyAlignment="1">
      <alignment horizontal="left"/>
    </xf>
    <xf numFmtId="0" fontId="9" fillId="0" borderId="9" xfId="0" applyFont="1" applyBorder="1" applyAlignment="1">
      <alignment horizontal="center" wrapText="1"/>
    </xf>
    <xf numFmtId="0" fontId="9" fillId="0" borderId="10" xfId="0" applyFont="1" applyBorder="1" applyAlignment="1">
      <alignment horizontal="center"/>
    </xf>
    <xf numFmtId="0" fontId="9" fillId="0" borderId="1" xfId="0" applyFont="1" applyBorder="1" applyAlignment="1">
      <alignment horizontal="center" wrapText="1"/>
    </xf>
    <xf numFmtId="0" fontId="9" fillId="0" borderId="10" xfId="0" applyFont="1" applyBorder="1" applyAlignment="1">
      <alignment horizontal="center" wrapText="1"/>
    </xf>
    <xf numFmtId="0" fontId="9" fillId="0" borderId="1" xfId="0" applyFont="1" applyBorder="1" applyAlignment="1">
      <alignment horizontal="center"/>
    </xf>
    <xf numFmtId="0" fontId="9" fillId="0" borderId="1" xfId="0" applyFont="1" applyBorder="1" applyAlignment="1">
      <alignment horizontal="left"/>
    </xf>
    <xf numFmtId="0" fontId="9" fillId="0" borderId="1" xfId="0" applyFont="1" applyBorder="1"/>
    <xf numFmtId="0" fontId="11" fillId="0" borderId="1" xfId="0" applyFont="1" applyBorder="1" applyAlignment="1">
      <alignment horizontal="center"/>
    </xf>
    <xf numFmtId="0" fontId="9" fillId="0" borderId="9" xfId="0" applyFont="1" applyBorder="1" applyAlignment="1">
      <alignment horizontal="center"/>
    </xf>
    <xf numFmtId="0" fontId="9" fillId="0" borderId="0" xfId="0" applyFont="1" applyAlignment="1">
      <alignment horizontal="center"/>
    </xf>
    <xf numFmtId="0" fontId="9" fillId="0" borderId="3" xfId="0" applyFont="1" applyBorder="1" applyAlignment="1">
      <alignment horizontal="center"/>
    </xf>
    <xf numFmtId="0" fontId="9" fillId="0" borderId="7" xfId="0" applyFont="1" applyBorder="1" applyAlignment="1">
      <alignment horizontal="center"/>
    </xf>
    <xf numFmtId="0" fontId="9" fillId="0" borderId="8" xfId="0" applyFont="1" applyBorder="1" applyAlignment="1">
      <alignment horizontal="center"/>
    </xf>
    <xf numFmtId="0" fontId="9" fillId="0" borderId="9" xfId="0" applyFont="1" applyBorder="1" applyAlignment="1">
      <alignment horizontal="center" vertical="center" wrapText="1"/>
    </xf>
    <xf numFmtId="0" fontId="9" fillId="0" borderId="10" xfId="0" applyFont="1" applyBorder="1" applyAlignment="1">
      <alignment horizontal="center" vertical="center" wrapText="1"/>
    </xf>
    <xf numFmtId="164" fontId="13" fillId="4" borderId="11" xfId="2" applyFont="1" applyFill="1" applyBorder="1" applyAlignment="1">
      <alignment horizontal="left"/>
    </xf>
    <xf numFmtId="164" fontId="13" fillId="4" borderId="12" xfId="2" applyFont="1" applyFill="1" applyBorder="1" applyAlignment="1">
      <alignment horizontal="left"/>
    </xf>
    <xf numFmtId="164" fontId="13" fillId="4" borderId="13" xfId="2" applyFont="1" applyFill="1" applyBorder="1" applyAlignment="1">
      <alignment horizontal="left"/>
    </xf>
    <xf numFmtId="0" fontId="13" fillId="16" borderId="11" xfId="0" applyFont="1" applyFill="1" applyBorder="1" applyAlignment="1">
      <alignment horizontal="left" vertical="top"/>
    </xf>
    <xf numFmtId="0" fontId="13" fillId="16" borderId="12" xfId="0" applyFont="1" applyFill="1" applyBorder="1" applyAlignment="1">
      <alignment horizontal="left" vertical="top"/>
    </xf>
    <xf numFmtId="0" fontId="13" fillId="16" borderId="13" xfId="0" applyFont="1" applyFill="1" applyBorder="1" applyAlignment="1">
      <alignment horizontal="left" vertical="top"/>
    </xf>
    <xf numFmtId="0" fontId="0" fillId="0" borderId="0" xfId="0" applyAlignment="1">
      <alignment horizontal="center"/>
    </xf>
    <xf numFmtId="0" fontId="0" fillId="0" borderId="0" xfId="0" applyAlignment="1">
      <alignment horizontal="center" vertical="center"/>
    </xf>
  </cellXfs>
  <cellStyles count="4">
    <cellStyle name="Milliers" xfId="2" builtinId="3"/>
    <cellStyle name="Monétaire" xfId="1" builtinId="4"/>
    <cellStyle name="Normal" xfId="0" builtinId="0"/>
    <cellStyle name="Pourcentage" xfId="3" builtinId="5"/>
  </cellStyles>
  <dxfs count="0"/>
  <tableStyles count="0" defaultTableStyle="TableStyleMedium2" defaultPivotStyle="PivotStyleLight16"/>
  <colors>
    <mruColors>
      <color rgb="FF009FD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38"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37"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alcChain" Target="calcChain.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12.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8.bin"/></Relationships>
</file>

<file path=xl/worksheets/_rels/sheet16.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6.vml"/></Relationships>
</file>

<file path=xl/worksheets/_rels/sheet17.xml.rels><?xml version="1.0" encoding="UTF-8" standalone="yes"?>
<Relationships xmlns="http://schemas.openxmlformats.org/package/2006/relationships"><Relationship Id="rId2" Type="http://schemas.openxmlformats.org/officeDocument/2006/relationships/comments" Target="../comments7.xml"/><Relationship Id="rId1" Type="http://schemas.openxmlformats.org/officeDocument/2006/relationships/vmlDrawing" Target="../drawings/vmlDrawing7.vml"/></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21.xml.rels><?xml version="1.0" encoding="UTF-8" standalone="yes"?>
<Relationships xmlns="http://schemas.openxmlformats.org/package/2006/relationships"><Relationship Id="rId2" Type="http://schemas.openxmlformats.org/officeDocument/2006/relationships/comments" Target="../comments10.xml"/><Relationship Id="rId1" Type="http://schemas.openxmlformats.org/officeDocument/2006/relationships/vmlDrawing" Target="../drawings/vmlDrawing10.vml"/></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31.xml.rels><?xml version="1.0" encoding="UTF-8" standalone="yes"?>
<Relationships xmlns="http://schemas.openxmlformats.org/package/2006/relationships"><Relationship Id="rId2" Type="http://schemas.openxmlformats.org/officeDocument/2006/relationships/comments" Target="../comments11.xml"/><Relationship Id="rId1" Type="http://schemas.openxmlformats.org/officeDocument/2006/relationships/vmlDrawing" Target="../drawings/vmlDrawing11.v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14"/>
  <sheetViews>
    <sheetView topLeftCell="A95" zoomScale="140" zoomScaleNormal="140" workbookViewId="0">
      <selection activeCell="Z85" sqref="Z85"/>
    </sheetView>
  </sheetViews>
  <sheetFormatPr baseColWidth="10" defaultColWidth="9.140625" defaultRowHeight="12.75" x14ac:dyDescent="0.2"/>
  <cols>
    <col min="1" max="1" width="5.7109375" style="27" customWidth="1"/>
    <col min="2" max="2" width="28.5703125" style="27" customWidth="1"/>
    <col min="3" max="3" width="17.5703125" style="27" customWidth="1"/>
    <col min="4" max="4" width="7.85546875" style="27" hidden="1" customWidth="1"/>
    <col min="5" max="5" width="5" style="27" hidden="1" customWidth="1"/>
    <col min="6" max="6" width="6.5703125" style="27" hidden="1" customWidth="1"/>
    <col min="7" max="7" width="9.42578125" style="27" hidden="1" customWidth="1"/>
    <col min="8" max="8" width="10.5703125" style="27" hidden="1" customWidth="1"/>
    <col min="9" max="9" width="4.42578125" style="27" hidden="1" customWidth="1"/>
    <col min="10" max="10" width="9.85546875" style="27" hidden="1" customWidth="1"/>
    <col min="11" max="11" width="9" style="27" hidden="1" customWidth="1"/>
    <col min="12" max="12" width="8.5703125" style="27" hidden="1" customWidth="1"/>
    <col min="13" max="13" width="4.42578125" style="27" hidden="1" customWidth="1"/>
    <col min="14" max="14" width="7.42578125" style="27" hidden="1" customWidth="1"/>
    <col min="15" max="15" width="9" style="27" hidden="1" customWidth="1"/>
    <col min="16" max="16" width="8" style="27" hidden="1" customWidth="1"/>
    <col min="17" max="17" width="5.140625" style="27" hidden="1" customWidth="1"/>
    <col min="18" max="18" width="6.42578125" style="27" hidden="1" customWidth="1"/>
    <col min="19" max="19" width="5.5703125" style="27" hidden="1" customWidth="1"/>
    <col min="20" max="20" width="10.42578125" style="27" hidden="1" customWidth="1"/>
    <col min="21" max="21" width="7.85546875" style="27" hidden="1" customWidth="1"/>
    <col min="22" max="22" width="17.7109375" style="27" customWidth="1"/>
    <col min="23" max="23" width="11" style="27" bestFit="1" customWidth="1"/>
    <col min="24" max="27" width="13.5703125" style="27" customWidth="1"/>
    <col min="28" max="28" width="12" style="27" customWidth="1"/>
    <col min="29" max="29" width="14.5703125" style="27" customWidth="1"/>
    <col min="30" max="30" width="29.85546875" style="27" customWidth="1"/>
    <col min="31" max="31" width="9.140625" style="27" customWidth="1"/>
    <col min="32" max="16384" width="9.140625" style="27"/>
  </cols>
  <sheetData>
    <row r="1" spans="1:30" s="18" customFormat="1" x14ac:dyDescent="0.2">
      <c r="B1" s="19" t="s">
        <v>8</v>
      </c>
      <c r="C1" s="20" t="s">
        <v>9</v>
      </c>
      <c r="E1" s="229"/>
      <c r="F1" s="21"/>
      <c r="G1" s="342"/>
      <c r="H1" s="342"/>
      <c r="I1" s="342"/>
      <c r="J1" s="342"/>
      <c r="K1" s="342"/>
      <c r="L1" s="342"/>
      <c r="M1" s="342"/>
      <c r="N1" s="342"/>
      <c r="O1" s="342"/>
      <c r="P1" s="342"/>
      <c r="Q1" s="342"/>
      <c r="R1" s="342"/>
      <c r="S1" s="342"/>
      <c r="T1" s="342"/>
      <c r="U1" s="342"/>
      <c r="V1" s="342"/>
      <c r="W1" s="342"/>
      <c r="X1" s="342"/>
      <c r="Y1" s="342"/>
      <c r="Z1" s="342"/>
      <c r="AA1" s="342"/>
      <c r="AB1" s="342"/>
      <c r="AC1" s="342"/>
      <c r="AD1" s="343"/>
    </row>
    <row r="2" spans="1:30" s="18" customFormat="1" x14ac:dyDescent="0.2">
      <c r="B2" s="22" t="s">
        <v>10</v>
      </c>
      <c r="C2" s="18" t="s">
        <v>11</v>
      </c>
      <c r="E2" s="229"/>
      <c r="F2" s="23"/>
      <c r="G2" s="342" t="s">
        <v>12</v>
      </c>
      <c r="H2" s="342"/>
      <c r="I2" s="229"/>
      <c r="J2" s="229"/>
      <c r="K2" s="229"/>
      <c r="L2" s="229"/>
      <c r="M2" s="229"/>
      <c r="N2" s="229"/>
      <c r="O2" s="229"/>
      <c r="P2" s="229"/>
      <c r="Q2" s="229"/>
      <c r="R2" s="229"/>
      <c r="S2" s="229"/>
      <c r="T2" s="229"/>
      <c r="U2" s="229"/>
      <c r="V2" s="229"/>
      <c r="W2" s="229"/>
      <c r="X2" s="229"/>
      <c r="Y2" s="229"/>
      <c r="Z2" s="229"/>
      <c r="AA2" s="229"/>
      <c r="AB2" s="229"/>
      <c r="AC2" s="229"/>
      <c r="AD2" s="229"/>
    </row>
    <row r="3" spans="1:30" s="18" customFormat="1" x14ac:dyDescent="0.2">
      <c r="B3" s="22" t="s">
        <v>13</v>
      </c>
      <c r="C3" s="18" t="s">
        <v>14</v>
      </c>
      <c r="E3" s="342"/>
      <c r="F3" s="342"/>
      <c r="G3" s="342"/>
      <c r="H3" s="342"/>
      <c r="I3" s="342"/>
      <c r="J3" s="342"/>
      <c r="K3" s="342"/>
      <c r="L3" s="342"/>
      <c r="M3" s="342"/>
      <c r="N3" s="342"/>
      <c r="O3" s="342"/>
      <c r="P3" s="342"/>
      <c r="Q3" s="342"/>
      <c r="R3" s="342"/>
      <c r="S3" s="342"/>
      <c r="T3" s="342"/>
      <c r="U3" s="342"/>
      <c r="V3" s="342"/>
      <c r="W3" s="342"/>
      <c r="X3" s="342"/>
      <c r="Y3" s="342"/>
      <c r="Z3" s="342"/>
      <c r="AA3" s="342"/>
      <c r="AB3" s="342"/>
      <c r="AC3" s="342"/>
      <c r="AD3" s="342"/>
    </row>
    <row r="4" spans="1:30" s="18" customFormat="1" x14ac:dyDescent="0.2">
      <c r="B4" s="22" t="s">
        <v>15</v>
      </c>
      <c r="C4" s="18" t="s">
        <v>16</v>
      </c>
      <c r="E4" s="229"/>
      <c r="F4" s="24"/>
      <c r="G4" s="342" t="s">
        <v>17</v>
      </c>
      <c r="H4" s="342"/>
      <c r="I4" s="342"/>
      <c r="J4" s="342"/>
      <c r="K4" s="342"/>
      <c r="L4" s="342"/>
      <c r="M4" s="342"/>
      <c r="N4" s="342"/>
      <c r="O4" s="342"/>
      <c r="P4" s="342"/>
      <c r="Q4" s="342"/>
      <c r="R4" s="342"/>
      <c r="S4" s="342"/>
      <c r="T4" s="342"/>
      <c r="U4" s="342"/>
      <c r="V4" s="342"/>
      <c r="W4" s="342"/>
      <c r="X4" s="342"/>
      <c r="Y4" s="342"/>
      <c r="Z4" s="342"/>
      <c r="AA4" s="342"/>
      <c r="AB4" s="342"/>
      <c r="AC4" s="342"/>
      <c r="AD4" s="343"/>
    </row>
    <row r="5" spans="1:30" s="18" customFormat="1" x14ac:dyDescent="0.2">
      <c r="B5" s="25" t="s">
        <v>18</v>
      </c>
      <c r="C5" s="26" t="s">
        <v>524</v>
      </c>
      <c r="D5" s="26"/>
      <c r="E5" s="344"/>
      <c r="F5" s="344"/>
      <c r="G5" s="344"/>
      <c r="H5" s="344"/>
      <c r="I5" s="344"/>
      <c r="J5" s="344"/>
      <c r="K5" s="344"/>
      <c r="L5" s="344"/>
      <c r="M5" s="344"/>
      <c r="N5" s="344"/>
      <c r="O5" s="344"/>
      <c r="P5" s="344"/>
      <c r="Q5" s="344"/>
      <c r="R5" s="344"/>
      <c r="S5" s="344"/>
      <c r="T5" s="344"/>
      <c r="U5" s="344"/>
      <c r="V5" s="344"/>
      <c r="W5" s="344"/>
      <c r="X5" s="344"/>
      <c r="Y5" s="344"/>
      <c r="Z5" s="344"/>
      <c r="AA5" s="344"/>
      <c r="AB5" s="344"/>
      <c r="AC5" s="344"/>
      <c r="AD5" s="345"/>
    </row>
    <row r="6" spans="1:30" x14ac:dyDescent="0.2">
      <c r="B6" s="340" t="s">
        <v>19</v>
      </c>
      <c r="C6" s="341" t="s">
        <v>20</v>
      </c>
      <c r="D6" s="333" t="s">
        <v>21</v>
      </c>
      <c r="E6" s="337"/>
      <c r="F6" s="339" t="s">
        <v>525</v>
      </c>
      <c r="G6" s="339"/>
      <c r="H6" s="339"/>
      <c r="I6" s="337"/>
      <c r="J6" s="338" t="s">
        <v>526</v>
      </c>
      <c r="K6" s="338"/>
      <c r="L6" s="338"/>
      <c r="M6" s="337"/>
      <c r="N6" s="339" t="s">
        <v>527</v>
      </c>
      <c r="O6" s="339"/>
      <c r="P6" s="339"/>
      <c r="Q6" s="337"/>
      <c r="R6" s="338" t="s">
        <v>528</v>
      </c>
      <c r="S6" s="338"/>
      <c r="T6" s="338"/>
      <c r="U6" s="337"/>
      <c r="V6" s="333" t="s">
        <v>22</v>
      </c>
      <c r="W6" s="333" t="s">
        <v>23</v>
      </c>
      <c r="X6" s="335" t="s">
        <v>24</v>
      </c>
      <c r="Y6" s="240"/>
      <c r="Z6" s="240" t="s">
        <v>529</v>
      </c>
      <c r="AA6" s="240"/>
      <c r="AB6" s="333" t="s">
        <v>25</v>
      </c>
      <c r="AC6" s="333" t="s">
        <v>26</v>
      </c>
      <c r="AD6" s="337" t="s">
        <v>27</v>
      </c>
    </row>
    <row r="7" spans="1:30" x14ac:dyDescent="0.2">
      <c r="B7" s="340"/>
      <c r="C7" s="334"/>
      <c r="D7" s="334"/>
      <c r="E7" s="337"/>
      <c r="F7" s="28" t="s">
        <v>28</v>
      </c>
      <c r="G7" s="28" t="s">
        <v>29</v>
      </c>
      <c r="H7" s="28" t="s">
        <v>30</v>
      </c>
      <c r="I7" s="337"/>
      <c r="J7" s="28" t="s">
        <v>31</v>
      </c>
      <c r="K7" s="28" t="s">
        <v>32</v>
      </c>
      <c r="L7" s="28" t="s">
        <v>33</v>
      </c>
      <c r="M7" s="337"/>
      <c r="N7" s="28" t="s">
        <v>34</v>
      </c>
      <c r="O7" s="28" t="s">
        <v>35</v>
      </c>
      <c r="P7" s="28" t="s">
        <v>36</v>
      </c>
      <c r="Q7" s="337"/>
      <c r="R7" s="28" t="s">
        <v>37</v>
      </c>
      <c r="S7" s="28" t="s">
        <v>38</v>
      </c>
      <c r="T7" s="28" t="s">
        <v>39</v>
      </c>
      <c r="U7" s="337"/>
      <c r="V7" s="334"/>
      <c r="W7" s="334"/>
      <c r="X7" s="335"/>
      <c r="Y7" s="241"/>
      <c r="Z7" s="241"/>
      <c r="AA7" s="241"/>
      <c r="AB7" s="336"/>
      <c r="AC7" s="336"/>
      <c r="AD7" s="337"/>
    </row>
    <row r="8" spans="1:30" x14ac:dyDescent="0.2">
      <c r="B8" s="332" t="s">
        <v>40</v>
      </c>
      <c r="C8" s="332"/>
      <c r="D8" s="332"/>
      <c r="E8" s="332"/>
      <c r="F8" s="332"/>
      <c r="G8" s="332"/>
      <c r="H8" s="332"/>
      <c r="I8" s="332"/>
      <c r="J8" s="332"/>
      <c r="K8" s="332"/>
      <c r="L8" s="332"/>
      <c r="M8" s="332"/>
      <c r="N8" s="332"/>
      <c r="O8" s="332"/>
      <c r="P8" s="332"/>
      <c r="Q8" s="332"/>
      <c r="R8" s="332"/>
      <c r="S8" s="332"/>
      <c r="T8" s="332"/>
      <c r="U8" s="332"/>
      <c r="V8" s="332"/>
      <c r="W8" s="332"/>
      <c r="X8" s="332"/>
      <c r="Y8" s="332"/>
      <c r="Z8" s="332"/>
      <c r="AA8" s="332"/>
      <c r="AB8" s="332"/>
      <c r="AC8" s="332"/>
      <c r="AD8" s="332"/>
    </row>
    <row r="9" spans="1:30" ht="26.25" x14ac:dyDescent="0.25">
      <c r="A9" s="29" t="s">
        <v>41</v>
      </c>
      <c r="B9" s="320" t="s">
        <v>42</v>
      </c>
      <c r="C9" s="321"/>
      <c r="D9" s="321"/>
      <c r="E9" s="321"/>
      <c r="F9" s="321"/>
      <c r="G9" s="321"/>
      <c r="H9" s="321"/>
      <c r="I9" s="321"/>
      <c r="J9" s="321"/>
      <c r="K9" s="321"/>
      <c r="L9" s="321"/>
      <c r="M9" s="321"/>
      <c r="N9" s="321"/>
      <c r="O9" s="321"/>
      <c r="P9" s="321"/>
      <c r="Q9" s="321"/>
      <c r="R9" s="321"/>
      <c r="S9" s="321"/>
      <c r="T9" s="321"/>
      <c r="U9" s="321"/>
      <c r="V9" s="321"/>
      <c r="W9" s="321"/>
      <c r="X9" s="321"/>
      <c r="Y9" s="321"/>
      <c r="Z9" s="321"/>
      <c r="AA9" s="321"/>
      <c r="AB9" s="321"/>
      <c r="AC9" s="321"/>
      <c r="AD9" s="322"/>
    </row>
    <row r="10" spans="1:30" ht="140.25" x14ac:dyDescent="0.2">
      <c r="A10" s="30">
        <v>1</v>
      </c>
      <c r="B10" s="31" t="s">
        <v>43</v>
      </c>
      <c r="C10" s="29" t="s">
        <v>44</v>
      </c>
      <c r="D10" s="28"/>
      <c r="E10" s="32"/>
      <c r="F10" s="230" t="s">
        <v>45</v>
      </c>
      <c r="G10" s="230" t="s">
        <v>45</v>
      </c>
      <c r="H10" s="230" t="s">
        <v>45</v>
      </c>
      <c r="I10" s="32"/>
      <c r="J10" s="230" t="s">
        <v>45</v>
      </c>
      <c r="K10" s="230" t="s">
        <v>45</v>
      </c>
      <c r="L10" s="230" t="s">
        <v>45</v>
      </c>
      <c r="M10" s="32"/>
      <c r="N10" s="230" t="s">
        <v>45</v>
      </c>
      <c r="O10" s="230" t="s">
        <v>45</v>
      </c>
      <c r="P10" s="230" t="s">
        <v>45</v>
      </c>
      <c r="Q10" s="32"/>
      <c r="R10" s="230" t="s">
        <v>45</v>
      </c>
      <c r="S10" s="230" t="s">
        <v>45</v>
      </c>
      <c r="T10" s="230" t="s">
        <v>45</v>
      </c>
      <c r="U10" s="32"/>
      <c r="V10" s="31" t="s">
        <v>46</v>
      </c>
      <c r="W10" s="28"/>
      <c r="X10" s="196">
        <v>8710</v>
      </c>
      <c r="Y10" s="196"/>
      <c r="Z10" s="243">
        <v>2703930</v>
      </c>
      <c r="AA10" s="218"/>
      <c r="AC10" s="28"/>
      <c r="AD10" s="34" t="s">
        <v>47</v>
      </c>
    </row>
    <row r="11" spans="1:30" ht="51" x14ac:dyDescent="0.2">
      <c r="A11" s="30">
        <f t="shared" ref="A11:A27" si="0">+A10+1</f>
        <v>2</v>
      </c>
      <c r="B11" s="31" t="s">
        <v>48</v>
      </c>
      <c r="C11" s="29" t="s">
        <v>49</v>
      </c>
      <c r="D11" s="28"/>
      <c r="E11" s="32"/>
      <c r="F11" s="230"/>
      <c r="G11" s="230"/>
      <c r="H11" s="230"/>
      <c r="I11" s="32"/>
      <c r="J11" s="230"/>
      <c r="K11" s="230" t="s">
        <v>45</v>
      </c>
      <c r="L11" s="230"/>
      <c r="M11" s="32"/>
      <c r="N11" s="230"/>
      <c r="O11" s="230"/>
      <c r="P11" s="230"/>
      <c r="Q11" s="32"/>
      <c r="R11" s="230"/>
      <c r="S11" s="230" t="s">
        <v>45</v>
      </c>
      <c r="T11" s="230"/>
      <c r="U11" s="32"/>
      <c r="V11" s="31" t="s">
        <v>50</v>
      </c>
      <c r="W11" s="28"/>
      <c r="X11" s="196">
        <v>1000</v>
      </c>
      <c r="Y11" s="196"/>
      <c r="Z11" s="243"/>
      <c r="AA11" s="31"/>
      <c r="AB11" s="28"/>
      <c r="AC11" s="28"/>
      <c r="AD11" s="34" t="s">
        <v>47</v>
      </c>
    </row>
    <row r="12" spans="1:30" ht="140.25" x14ac:dyDescent="0.2">
      <c r="A12" s="30">
        <f t="shared" si="0"/>
        <v>3</v>
      </c>
      <c r="B12" s="31" t="s">
        <v>51</v>
      </c>
      <c r="C12" s="29" t="s">
        <v>52</v>
      </c>
      <c r="D12" s="28"/>
      <c r="E12" s="32"/>
      <c r="F12" s="230" t="s">
        <v>45</v>
      </c>
      <c r="G12" s="230" t="s">
        <v>45</v>
      </c>
      <c r="H12" s="230" t="s">
        <v>45</v>
      </c>
      <c r="I12" s="32"/>
      <c r="J12" s="230" t="s">
        <v>45</v>
      </c>
      <c r="K12" s="230" t="s">
        <v>45</v>
      </c>
      <c r="L12" s="230" t="s">
        <v>45</v>
      </c>
      <c r="M12" s="32"/>
      <c r="N12" s="230" t="s">
        <v>45</v>
      </c>
      <c r="O12" s="230" t="s">
        <v>45</v>
      </c>
      <c r="P12" s="230" t="s">
        <v>45</v>
      </c>
      <c r="Q12" s="32"/>
      <c r="R12" s="230" t="s">
        <v>45</v>
      </c>
      <c r="S12" s="230" t="s">
        <v>45</v>
      </c>
      <c r="T12" s="230" t="s">
        <v>45</v>
      </c>
      <c r="U12" s="32"/>
      <c r="V12" s="31" t="s">
        <v>53</v>
      </c>
      <c r="W12" s="28"/>
      <c r="X12" s="196">
        <v>130288</v>
      </c>
      <c r="Y12" s="196"/>
      <c r="Z12" s="243">
        <v>38365895</v>
      </c>
      <c r="AA12" s="31"/>
      <c r="AB12" s="28"/>
      <c r="AC12" s="28"/>
      <c r="AD12" s="34" t="s">
        <v>47</v>
      </c>
    </row>
    <row r="13" spans="1:30" ht="30" customHeight="1" x14ac:dyDescent="0.2">
      <c r="A13" s="30">
        <f t="shared" si="0"/>
        <v>4</v>
      </c>
      <c r="B13" s="31" t="s">
        <v>54</v>
      </c>
      <c r="C13" s="29" t="s">
        <v>55</v>
      </c>
      <c r="D13" s="28"/>
      <c r="E13" s="32"/>
      <c r="F13" s="230" t="s">
        <v>45</v>
      </c>
      <c r="G13" s="230" t="s">
        <v>45</v>
      </c>
      <c r="H13" s="230" t="s">
        <v>45</v>
      </c>
      <c r="I13" s="32"/>
      <c r="J13" s="230" t="s">
        <v>45</v>
      </c>
      <c r="K13" s="230" t="s">
        <v>45</v>
      </c>
      <c r="L13" s="230" t="s">
        <v>45</v>
      </c>
      <c r="M13" s="32"/>
      <c r="N13" s="230" t="s">
        <v>45</v>
      </c>
      <c r="O13" s="230" t="s">
        <v>45</v>
      </c>
      <c r="P13" s="230" t="s">
        <v>45</v>
      </c>
      <c r="Q13" s="32"/>
      <c r="R13" s="230" t="s">
        <v>45</v>
      </c>
      <c r="S13" s="230" t="s">
        <v>45</v>
      </c>
      <c r="T13" s="230" t="s">
        <v>45</v>
      </c>
      <c r="U13" s="32"/>
      <c r="V13" s="31" t="s">
        <v>56</v>
      </c>
      <c r="W13" s="28"/>
      <c r="X13" s="196">
        <v>2400</v>
      </c>
      <c r="Y13" s="196"/>
      <c r="Z13" s="243">
        <v>2150886</v>
      </c>
      <c r="AA13" s="31"/>
      <c r="AB13" s="28"/>
      <c r="AC13" s="28"/>
      <c r="AD13" s="34" t="s">
        <v>47</v>
      </c>
    </row>
    <row r="14" spans="1:30" ht="102" x14ac:dyDescent="0.2">
      <c r="A14" s="30">
        <f t="shared" si="0"/>
        <v>5</v>
      </c>
      <c r="B14" s="31" t="s">
        <v>57</v>
      </c>
      <c r="C14" s="29" t="s">
        <v>58</v>
      </c>
      <c r="D14" s="28"/>
      <c r="E14" s="32"/>
      <c r="F14" s="230" t="s">
        <v>45</v>
      </c>
      <c r="G14" s="230" t="s">
        <v>45</v>
      </c>
      <c r="H14" s="230" t="s">
        <v>45</v>
      </c>
      <c r="I14" s="32"/>
      <c r="J14" s="230" t="s">
        <v>45</v>
      </c>
      <c r="K14" s="230" t="s">
        <v>45</v>
      </c>
      <c r="L14" s="230" t="s">
        <v>45</v>
      </c>
      <c r="M14" s="32"/>
      <c r="N14" s="230" t="s">
        <v>45</v>
      </c>
      <c r="O14" s="230" t="s">
        <v>45</v>
      </c>
      <c r="P14" s="230" t="s">
        <v>45</v>
      </c>
      <c r="Q14" s="32"/>
      <c r="R14" s="230" t="s">
        <v>45</v>
      </c>
      <c r="S14" s="230" t="s">
        <v>45</v>
      </c>
      <c r="T14" s="230" t="s">
        <v>45</v>
      </c>
      <c r="U14" s="32"/>
      <c r="V14" s="31" t="s">
        <v>59</v>
      </c>
      <c r="W14" s="28"/>
      <c r="X14" s="197">
        <v>9000</v>
      </c>
      <c r="Y14" s="197"/>
      <c r="Z14" s="243">
        <v>4988622</v>
      </c>
      <c r="AA14" s="31"/>
      <c r="AB14" s="28"/>
      <c r="AC14" s="28"/>
      <c r="AD14" s="34" t="s">
        <v>47</v>
      </c>
    </row>
    <row r="15" spans="1:30" ht="102" x14ac:dyDescent="0.2">
      <c r="A15" s="30">
        <f t="shared" si="0"/>
        <v>6</v>
      </c>
      <c r="B15" s="31" t="s">
        <v>60</v>
      </c>
      <c r="C15" s="29" t="s">
        <v>61</v>
      </c>
      <c r="D15" s="28"/>
      <c r="E15" s="32"/>
      <c r="F15" s="230"/>
      <c r="G15" s="230"/>
      <c r="H15" s="230"/>
      <c r="I15" s="32"/>
      <c r="J15" s="230"/>
      <c r="K15" s="230" t="s">
        <v>45</v>
      </c>
      <c r="L15" s="230"/>
      <c r="M15" s="32"/>
      <c r="N15" s="230"/>
      <c r="O15" s="230"/>
      <c r="P15" s="230"/>
      <c r="Q15" s="32"/>
      <c r="R15" s="230"/>
      <c r="S15" s="230"/>
      <c r="T15" s="230"/>
      <c r="U15" s="32"/>
      <c r="V15" s="31" t="s">
        <v>62</v>
      </c>
      <c r="W15" s="28"/>
      <c r="X15" s="196">
        <v>21250</v>
      </c>
      <c r="Y15" s="196"/>
      <c r="Z15" s="243">
        <v>5104455</v>
      </c>
      <c r="AA15" s="31"/>
      <c r="AB15" s="28"/>
      <c r="AC15" s="28"/>
      <c r="AD15" s="34" t="s">
        <v>47</v>
      </c>
    </row>
    <row r="16" spans="1:30" ht="63.75" x14ac:dyDescent="0.2">
      <c r="A16" s="30">
        <f t="shared" si="0"/>
        <v>7</v>
      </c>
      <c r="B16" s="31" t="s">
        <v>63</v>
      </c>
      <c r="C16" s="29" t="s">
        <v>64</v>
      </c>
      <c r="D16" s="28"/>
      <c r="E16" s="32"/>
      <c r="F16" s="230"/>
      <c r="G16" s="230" t="s">
        <v>45</v>
      </c>
      <c r="H16" s="230"/>
      <c r="I16" s="32"/>
      <c r="J16" s="230"/>
      <c r="K16" s="230"/>
      <c r="L16" s="230"/>
      <c r="M16" s="32"/>
      <c r="N16" s="230"/>
      <c r="O16" s="230"/>
      <c r="P16" s="230"/>
      <c r="Q16" s="32"/>
      <c r="R16" s="230"/>
      <c r="S16" s="230"/>
      <c r="T16" s="230"/>
      <c r="U16" s="32"/>
      <c r="V16" s="31" t="s">
        <v>65</v>
      </c>
      <c r="W16" s="28"/>
      <c r="X16" s="196">
        <v>12600</v>
      </c>
      <c r="Y16" s="196"/>
      <c r="Z16" s="243">
        <v>5300000</v>
      </c>
      <c r="AA16" s="31"/>
      <c r="AB16" s="28"/>
      <c r="AC16" s="28"/>
      <c r="AD16" s="34" t="s">
        <v>47</v>
      </c>
    </row>
    <row r="17" spans="1:30" ht="89.25" x14ac:dyDescent="0.2">
      <c r="A17" s="30">
        <f t="shared" si="0"/>
        <v>8</v>
      </c>
      <c r="B17" s="31" t="s">
        <v>66</v>
      </c>
      <c r="C17" s="29" t="s">
        <v>67</v>
      </c>
      <c r="D17" s="28"/>
      <c r="E17" s="32"/>
      <c r="F17" s="230"/>
      <c r="G17" s="230" t="s">
        <v>45</v>
      </c>
      <c r="H17" s="230"/>
      <c r="I17" s="32"/>
      <c r="J17" s="230"/>
      <c r="K17" s="230" t="s">
        <v>45</v>
      </c>
      <c r="L17" s="230"/>
      <c r="M17" s="32"/>
      <c r="N17" s="230"/>
      <c r="O17" s="230" t="s">
        <v>45</v>
      </c>
      <c r="P17" s="230"/>
      <c r="Q17" s="32"/>
      <c r="R17" s="230"/>
      <c r="S17" s="230" t="s">
        <v>45</v>
      </c>
      <c r="T17" s="230"/>
      <c r="U17" s="32"/>
      <c r="V17" s="31" t="s">
        <v>68</v>
      </c>
      <c r="W17" s="28"/>
      <c r="X17" s="196">
        <v>2400</v>
      </c>
      <c r="Y17" s="196"/>
      <c r="Z17" s="243">
        <v>256043</v>
      </c>
      <c r="AA17" s="31"/>
      <c r="AB17" s="28"/>
      <c r="AC17" s="28"/>
      <c r="AD17" s="34" t="s">
        <v>47</v>
      </c>
    </row>
    <row r="18" spans="1:30" ht="153" x14ac:dyDescent="0.2">
      <c r="A18" s="30">
        <f t="shared" si="0"/>
        <v>9</v>
      </c>
      <c r="B18" s="31" t="s">
        <v>69</v>
      </c>
      <c r="C18" s="29" t="s">
        <v>70</v>
      </c>
      <c r="D18" s="28"/>
      <c r="E18" s="32"/>
      <c r="F18" s="230" t="s">
        <v>45</v>
      </c>
      <c r="G18" s="230" t="s">
        <v>45</v>
      </c>
      <c r="H18" s="230" t="s">
        <v>45</v>
      </c>
      <c r="I18" s="32"/>
      <c r="J18" s="230" t="s">
        <v>45</v>
      </c>
      <c r="K18" s="230" t="s">
        <v>45</v>
      </c>
      <c r="L18" s="230" t="s">
        <v>45</v>
      </c>
      <c r="M18" s="32"/>
      <c r="N18" s="230" t="s">
        <v>45</v>
      </c>
      <c r="O18" s="230" t="s">
        <v>45</v>
      </c>
      <c r="P18" s="230" t="s">
        <v>45</v>
      </c>
      <c r="Q18" s="32"/>
      <c r="R18" s="230" t="s">
        <v>45</v>
      </c>
      <c r="S18" s="230" t="s">
        <v>45</v>
      </c>
      <c r="T18" s="230" t="s">
        <v>45</v>
      </c>
      <c r="U18" s="32"/>
      <c r="V18" s="31" t="s">
        <v>71</v>
      </c>
      <c r="W18" s="28"/>
      <c r="X18" s="196">
        <v>37746</v>
      </c>
      <c r="Y18" s="196"/>
      <c r="Z18" s="243">
        <v>4462500</v>
      </c>
      <c r="AA18" s="31"/>
      <c r="AB18" s="28"/>
      <c r="AC18" s="28"/>
      <c r="AD18" s="34" t="s">
        <v>47</v>
      </c>
    </row>
    <row r="19" spans="1:30" ht="76.5" x14ac:dyDescent="0.2">
      <c r="A19" s="30">
        <f t="shared" si="0"/>
        <v>10</v>
      </c>
      <c r="B19" s="31" t="s">
        <v>72</v>
      </c>
      <c r="C19" s="29" t="s">
        <v>73</v>
      </c>
      <c r="D19" s="28"/>
      <c r="E19" s="32"/>
      <c r="F19" s="230"/>
      <c r="G19" s="230"/>
      <c r="H19" s="230" t="s">
        <v>45</v>
      </c>
      <c r="I19" s="32"/>
      <c r="J19" s="230"/>
      <c r="K19" s="230"/>
      <c r="L19" s="230" t="s">
        <v>45</v>
      </c>
      <c r="M19" s="32"/>
      <c r="N19" s="230"/>
      <c r="O19" s="230"/>
      <c r="P19" s="230"/>
      <c r="Q19" s="32"/>
      <c r="R19" s="230"/>
      <c r="S19" s="230" t="s">
        <v>45</v>
      </c>
      <c r="T19" s="230"/>
      <c r="U19" s="32"/>
      <c r="V19" s="31" t="s">
        <v>74</v>
      </c>
      <c r="W19" s="28"/>
      <c r="X19" s="196">
        <v>2700</v>
      </c>
      <c r="Y19" s="196"/>
      <c r="Z19" s="243">
        <v>990000</v>
      </c>
      <c r="AA19" s="31"/>
      <c r="AB19" s="28"/>
      <c r="AC19" s="28"/>
      <c r="AD19" s="34" t="s">
        <v>47</v>
      </c>
    </row>
    <row r="20" spans="1:30" ht="38.25" x14ac:dyDescent="0.2">
      <c r="A20" s="30">
        <f t="shared" si="0"/>
        <v>11</v>
      </c>
      <c r="B20" s="31" t="s">
        <v>75</v>
      </c>
      <c r="C20" s="29" t="s">
        <v>76</v>
      </c>
      <c r="D20" s="28"/>
      <c r="E20" s="32"/>
      <c r="F20" s="230" t="s">
        <v>45</v>
      </c>
      <c r="G20" s="230" t="s">
        <v>45</v>
      </c>
      <c r="H20" s="230" t="s">
        <v>45</v>
      </c>
      <c r="I20" s="32"/>
      <c r="J20" s="230" t="s">
        <v>45</v>
      </c>
      <c r="K20" s="230" t="s">
        <v>45</v>
      </c>
      <c r="L20" s="230" t="s">
        <v>45</v>
      </c>
      <c r="M20" s="32"/>
      <c r="N20" s="230" t="s">
        <v>45</v>
      </c>
      <c r="O20" s="230" t="s">
        <v>45</v>
      </c>
      <c r="P20" s="230" t="s">
        <v>45</v>
      </c>
      <c r="Q20" s="32"/>
      <c r="R20" s="230" t="s">
        <v>45</v>
      </c>
      <c r="S20" s="230" t="s">
        <v>45</v>
      </c>
      <c r="T20" s="230" t="s">
        <v>45</v>
      </c>
      <c r="U20" s="32"/>
      <c r="V20" s="31" t="s">
        <v>77</v>
      </c>
      <c r="W20" s="28"/>
      <c r="X20" s="196">
        <v>365</v>
      </c>
      <c r="Y20" s="196"/>
      <c r="Z20" s="243"/>
      <c r="AA20" s="31"/>
      <c r="AB20" s="28"/>
      <c r="AC20" s="28"/>
      <c r="AD20" s="34" t="s">
        <v>47</v>
      </c>
    </row>
    <row r="21" spans="1:30" ht="76.5" x14ac:dyDescent="0.2">
      <c r="A21" s="30">
        <f t="shared" si="0"/>
        <v>12</v>
      </c>
      <c r="B21" s="31" t="s">
        <v>78</v>
      </c>
      <c r="C21" s="29" t="s">
        <v>79</v>
      </c>
      <c r="D21" s="28"/>
      <c r="E21" s="32"/>
      <c r="F21" s="230" t="s">
        <v>45</v>
      </c>
      <c r="G21" s="230" t="s">
        <v>45</v>
      </c>
      <c r="H21" s="230" t="s">
        <v>45</v>
      </c>
      <c r="I21" s="32"/>
      <c r="J21" s="230" t="s">
        <v>45</v>
      </c>
      <c r="K21" s="230" t="s">
        <v>45</v>
      </c>
      <c r="L21" s="230" t="s">
        <v>45</v>
      </c>
      <c r="M21" s="32"/>
      <c r="N21" s="230" t="s">
        <v>45</v>
      </c>
      <c r="O21" s="230" t="s">
        <v>45</v>
      </c>
      <c r="P21" s="230" t="s">
        <v>45</v>
      </c>
      <c r="Q21" s="32"/>
      <c r="R21" s="230" t="s">
        <v>45</v>
      </c>
      <c r="S21" s="230" t="s">
        <v>45</v>
      </c>
      <c r="T21" s="230" t="s">
        <v>45</v>
      </c>
      <c r="U21" s="32"/>
      <c r="V21" s="31" t="s">
        <v>80</v>
      </c>
      <c r="W21" s="28"/>
      <c r="X21" s="196">
        <v>28978</v>
      </c>
      <c r="Y21" s="196"/>
      <c r="Z21" s="243">
        <v>10372233</v>
      </c>
      <c r="AA21" s="31"/>
      <c r="AB21" s="28"/>
      <c r="AC21" s="28"/>
      <c r="AD21" s="34" t="s">
        <v>47</v>
      </c>
    </row>
    <row r="22" spans="1:30" ht="63.75" x14ac:dyDescent="0.2">
      <c r="A22" s="30">
        <f t="shared" si="0"/>
        <v>13</v>
      </c>
      <c r="B22" s="31" t="s">
        <v>81</v>
      </c>
      <c r="C22" s="29" t="s">
        <v>82</v>
      </c>
      <c r="D22" s="28"/>
      <c r="E22" s="32"/>
      <c r="F22" s="230" t="s">
        <v>45</v>
      </c>
      <c r="G22" s="230" t="s">
        <v>45</v>
      </c>
      <c r="H22" s="230" t="s">
        <v>45</v>
      </c>
      <c r="I22" s="32"/>
      <c r="J22" s="230" t="s">
        <v>45</v>
      </c>
      <c r="K22" s="230" t="s">
        <v>45</v>
      </c>
      <c r="L22" s="230" t="s">
        <v>45</v>
      </c>
      <c r="M22" s="32"/>
      <c r="N22" s="230" t="s">
        <v>45</v>
      </c>
      <c r="O22" s="230" t="s">
        <v>45</v>
      </c>
      <c r="P22" s="230" t="s">
        <v>45</v>
      </c>
      <c r="Q22" s="32"/>
      <c r="R22" s="230" t="s">
        <v>45</v>
      </c>
      <c r="S22" s="230" t="s">
        <v>45</v>
      </c>
      <c r="T22" s="230" t="s">
        <v>45</v>
      </c>
      <c r="U22" s="32"/>
      <c r="V22" s="31" t="s">
        <v>83</v>
      </c>
      <c r="W22" s="28"/>
      <c r="X22" s="196">
        <v>10272</v>
      </c>
      <c r="Y22" s="196"/>
      <c r="Z22" s="243">
        <v>3456000</v>
      </c>
      <c r="AA22" s="31"/>
      <c r="AB22" s="28"/>
      <c r="AC22" s="28"/>
      <c r="AD22" s="34" t="s">
        <v>47</v>
      </c>
    </row>
    <row r="23" spans="1:30" ht="63.75" x14ac:dyDescent="0.2">
      <c r="A23" s="30">
        <f t="shared" si="0"/>
        <v>14</v>
      </c>
      <c r="B23" s="31" t="s">
        <v>84</v>
      </c>
      <c r="C23" s="29" t="s">
        <v>85</v>
      </c>
      <c r="D23" s="28"/>
      <c r="E23" s="32"/>
      <c r="F23" s="230" t="s">
        <v>45</v>
      </c>
      <c r="G23" s="230" t="s">
        <v>45</v>
      </c>
      <c r="H23" s="230" t="s">
        <v>45</v>
      </c>
      <c r="I23" s="32"/>
      <c r="J23" s="230" t="s">
        <v>45</v>
      </c>
      <c r="K23" s="230" t="s">
        <v>45</v>
      </c>
      <c r="L23" s="230" t="s">
        <v>45</v>
      </c>
      <c r="M23" s="32"/>
      <c r="N23" s="230" t="s">
        <v>45</v>
      </c>
      <c r="O23" s="230" t="s">
        <v>45</v>
      </c>
      <c r="P23" s="230" t="s">
        <v>45</v>
      </c>
      <c r="Q23" s="32"/>
      <c r="R23" s="230" t="s">
        <v>45</v>
      </c>
      <c r="S23" s="230" t="s">
        <v>45</v>
      </c>
      <c r="T23" s="230" t="s">
        <v>45</v>
      </c>
      <c r="U23" s="32"/>
      <c r="V23" s="31" t="s">
        <v>86</v>
      </c>
      <c r="W23" s="28"/>
      <c r="X23" s="196">
        <v>12656</v>
      </c>
      <c r="Y23" s="196"/>
      <c r="Z23" s="243">
        <v>15149975</v>
      </c>
      <c r="AA23" s="31"/>
      <c r="AB23" s="28"/>
      <c r="AC23" s="28"/>
      <c r="AD23" s="34" t="s">
        <v>47</v>
      </c>
    </row>
    <row r="24" spans="1:30" ht="51" x14ac:dyDescent="0.2">
      <c r="A24" s="30">
        <f t="shared" si="0"/>
        <v>15</v>
      </c>
      <c r="B24" s="31" t="s">
        <v>87</v>
      </c>
      <c r="C24" s="29" t="s">
        <v>88</v>
      </c>
      <c r="D24" s="28"/>
      <c r="E24" s="32"/>
      <c r="F24" s="230" t="s">
        <v>45</v>
      </c>
      <c r="G24" s="230" t="s">
        <v>45</v>
      </c>
      <c r="H24" s="230" t="s">
        <v>45</v>
      </c>
      <c r="I24" s="32"/>
      <c r="J24" s="230" t="s">
        <v>45</v>
      </c>
      <c r="K24" s="230" t="s">
        <v>45</v>
      </c>
      <c r="L24" s="230" t="s">
        <v>45</v>
      </c>
      <c r="M24" s="32"/>
      <c r="N24" s="230" t="s">
        <v>45</v>
      </c>
      <c r="O24" s="230" t="s">
        <v>45</v>
      </c>
      <c r="P24" s="230" t="s">
        <v>45</v>
      </c>
      <c r="Q24" s="32"/>
      <c r="R24" s="230" t="s">
        <v>45</v>
      </c>
      <c r="S24" s="230" t="s">
        <v>45</v>
      </c>
      <c r="T24" s="230" t="s">
        <v>45</v>
      </c>
      <c r="U24" s="32"/>
      <c r="V24" s="31" t="s">
        <v>89</v>
      </c>
      <c r="W24" s="28"/>
      <c r="X24" s="196">
        <v>5600</v>
      </c>
      <c r="Y24" s="196"/>
      <c r="Z24" s="243">
        <v>1814167</v>
      </c>
      <c r="AA24" s="31"/>
      <c r="AB24" s="28"/>
      <c r="AC24" s="28"/>
      <c r="AD24" s="34" t="s">
        <v>47</v>
      </c>
    </row>
    <row r="25" spans="1:30" ht="51" x14ac:dyDescent="0.2">
      <c r="A25" s="30">
        <f t="shared" si="0"/>
        <v>16</v>
      </c>
      <c r="B25" s="31" t="s">
        <v>90</v>
      </c>
      <c r="C25" s="29" t="s">
        <v>91</v>
      </c>
      <c r="D25" s="28"/>
      <c r="E25" s="32"/>
      <c r="F25" s="230" t="s">
        <v>45</v>
      </c>
      <c r="G25" s="230" t="s">
        <v>45</v>
      </c>
      <c r="H25" s="230" t="s">
        <v>45</v>
      </c>
      <c r="I25" s="32"/>
      <c r="J25" s="230" t="s">
        <v>45</v>
      </c>
      <c r="K25" s="230" t="s">
        <v>45</v>
      </c>
      <c r="L25" s="230" t="s">
        <v>45</v>
      </c>
      <c r="M25" s="32"/>
      <c r="N25" s="230" t="s">
        <v>45</v>
      </c>
      <c r="O25" s="230" t="s">
        <v>45</v>
      </c>
      <c r="P25" s="230" t="s">
        <v>45</v>
      </c>
      <c r="Q25" s="32"/>
      <c r="R25" s="230" t="s">
        <v>45</v>
      </c>
      <c r="S25" s="230" t="s">
        <v>45</v>
      </c>
      <c r="T25" s="230" t="s">
        <v>45</v>
      </c>
      <c r="U25" s="32"/>
      <c r="V25" s="31" t="s">
        <v>92</v>
      </c>
      <c r="W25" s="28"/>
      <c r="X25" s="196">
        <v>15800</v>
      </c>
      <c r="Y25" s="196"/>
      <c r="Z25" s="243">
        <v>5386751</v>
      </c>
      <c r="AA25" s="31"/>
      <c r="AB25" s="28"/>
      <c r="AC25" s="28"/>
      <c r="AD25" s="34" t="s">
        <v>47</v>
      </c>
    </row>
    <row r="26" spans="1:30" ht="63.75" x14ac:dyDescent="0.2">
      <c r="A26" s="30">
        <f t="shared" si="0"/>
        <v>17</v>
      </c>
      <c r="B26" s="31" t="s">
        <v>93</v>
      </c>
      <c r="C26" s="29" t="s">
        <v>94</v>
      </c>
      <c r="D26" s="28"/>
      <c r="E26" s="32"/>
      <c r="F26" s="230" t="s">
        <v>45</v>
      </c>
      <c r="G26" s="230"/>
      <c r="H26" s="230"/>
      <c r="I26" s="32"/>
      <c r="J26" s="230"/>
      <c r="K26" s="230"/>
      <c r="L26" s="230"/>
      <c r="M26" s="32"/>
      <c r="N26" s="230"/>
      <c r="O26" s="230"/>
      <c r="P26" s="230"/>
      <c r="Q26" s="32"/>
      <c r="R26" s="230"/>
      <c r="S26" s="230"/>
      <c r="T26" s="230"/>
      <c r="U26" s="32"/>
      <c r="V26" s="31" t="s">
        <v>95</v>
      </c>
      <c r="W26" s="28"/>
      <c r="X26" s="196">
        <v>7000</v>
      </c>
      <c r="Y26" s="196"/>
      <c r="Z26" s="243">
        <v>799505</v>
      </c>
      <c r="AA26" s="31"/>
      <c r="AB26" s="28"/>
      <c r="AC26" s="28"/>
      <c r="AD26" s="34" t="s">
        <v>47</v>
      </c>
    </row>
    <row r="27" spans="1:30" ht="89.25" x14ac:dyDescent="0.2">
      <c r="A27" s="28">
        <f t="shared" si="0"/>
        <v>18</v>
      </c>
      <c r="B27" s="31" t="s">
        <v>96</v>
      </c>
      <c r="C27" s="29" t="s">
        <v>97</v>
      </c>
      <c r="D27" s="28"/>
      <c r="E27" s="32"/>
      <c r="F27" s="230" t="s">
        <v>45</v>
      </c>
      <c r="G27" s="230" t="s">
        <v>45</v>
      </c>
      <c r="H27" s="230" t="s">
        <v>45</v>
      </c>
      <c r="I27" s="32"/>
      <c r="J27" s="230" t="s">
        <v>45</v>
      </c>
      <c r="K27" s="230" t="s">
        <v>45</v>
      </c>
      <c r="L27" s="230" t="s">
        <v>45</v>
      </c>
      <c r="M27" s="32"/>
      <c r="N27" s="230" t="s">
        <v>45</v>
      </c>
      <c r="O27" s="230" t="s">
        <v>45</v>
      </c>
      <c r="P27" s="230" t="s">
        <v>45</v>
      </c>
      <c r="Q27" s="32"/>
      <c r="R27" s="230" t="s">
        <v>45</v>
      </c>
      <c r="S27" s="230" t="s">
        <v>45</v>
      </c>
      <c r="T27" s="230" t="s">
        <v>45</v>
      </c>
      <c r="U27" s="32"/>
      <c r="V27" s="31" t="s">
        <v>98</v>
      </c>
      <c r="W27" s="28"/>
      <c r="X27" s="196">
        <v>2400</v>
      </c>
      <c r="Y27" s="196"/>
      <c r="Z27" s="243">
        <v>1358490</v>
      </c>
      <c r="AA27" s="238"/>
      <c r="AB27" s="28"/>
      <c r="AC27" s="28"/>
      <c r="AD27" s="34" t="s">
        <v>47</v>
      </c>
    </row>
    <row r="28" spans="1:30" ht="13.5" x14ac:dyDescent="0.25">
      <c r="A28" s="28"/>
      <c r="B28" s="320" t="s">
        <v>99</v>
      </c>
      <c r="C28" s="321"/>
      <c r="D28" s="321"/>
      <c r="E28" s="321"/>
      <c r="F28" s="321"/>
      <c r="G28" s="321"/>
      <c r="H28" s="321"/>
      <c r="I28" s="321"/>
      <c r="J28" s="321"/>
      <c r="K28" s="321"/>
      <c r="L28" s="321"/>
      <c r="M28" s="321"/>
      <c r="N28" s="321"/>
      <c r="O28" s="321"/>
      <c r="P28" s="321"/>
      <c r="Q28" s="321"/>
      <c r="R28" s="321"/>
      <c r="S28" s="321"/>
      <c r="T28" s="321"/>
      <c r="U28" s="321"/>
      <c r="V28" s="321"/>
      <c r="W28" s="321"/>
      <c r="X28" s="321"/>
      <c r="Y28" s="321"/>
      <c r="Z28" s="321"/>
      <c r="AA28" s="321"/>
      <c r="AB28" s="321"/>
      <c r="AC28" s="321"/>
      <c r="AD28" s="322"/>
    </row>
    <row r="29" spans="1:30" ht="76.5" x14ac:dyDescent="0.2">
      <c r="A29" s="30">
        <f>+A28+1</f>
        <v>1</v>
      </c>
      <c r="B29" s="31" t="s">
        <v>100</v>
      </c>
      <c r="C29" s="31" t="s">
        <v>101</v>
      </c>
      <c r="D29" s="28"/>
      <c r="E29" s="32"/>
      <c r="F29" s="230"/>
      <c r="G29" s="230" t="s">
        <v>45</v>
      </c>
      <c r="H29" s="230"/>
      <c r="I29" s="32"/>
      <c r="J29" s="230"/>
      <c r="K29" s="230" t="s">
        <v>45</v>
      </c>
      <c r="L29" s="230"/>
      <c r="M29" s="32"/>
      <c r="N29" s="230"/>
      <c r="O29" s="230" t="s">
        <v>45</v>
      </c>
      <c r="P29" s="230"/>
      <c r="Q29" s="32"/>
      <c r="R29" s="230"/>
      <c r="S29" s="230" t="s">
        <v>45</v>
      </c>
      <c r="T29" s="230"/>
      <c r="U29" s="32"/>
      <c r="V29" s="29" t="s">
        <v>102</v>
      </c>
      <c r="W29" s="28"/>
      <c r="X29" s="33">
        <v>8422</v>
      </c>
      <c r="Y29" s="33"/>
      <c r="Z29" s="243">
        <v>300000</v>
      </c>
      <c r="AA29" s="238"/>
      <c r="AB29" s="28"/>
      <c r="AC29" s="28"/>
      <c r="AD29" s="29" t="s">
        <v>103</v>
      </c>
    </row>
    <row r="30" spans="1:30" ht="89.25" x14ac:dyDescent="0.2">
      <c r="A30" s="30">
        <f>+A29+1</f>
        <v>2</v>
      </c>
      <c r="B30" s="31" t="s">
        <v>104</v>
      </c>
      <c r="C30" s="29" t="s">
        <v>105</v>
      </c>
      <c r="D30" s="28"/>
      <c r="E30" s="32"/>
      <c r="F30" s="230" t="s">
        <v>45</v>
      </c>
      <c r="G30" s="230" t="s">
        <v>45</v>
      </c>
      <c r="H30" s="230" t="s">
        <v>45</v>
      </c>
      <c r="I30" s="32"/>
      <c r="J30" s="230"/>
      <c r="K30" s="230"/>
      <c r="L30" s="230"/>
      <c r="M30" s="32"/>
      <c r="N30" s="230"/>
      <c r="O30" s="230"/>
      <c r="P30" s="230"/>
      <c r="Q30" s="32"/>
      <c r="R30" s="230"/>
      <c r="S30" s="230"/>
      <c r="T30" s="230"/>
      <c r="U30" s="32"/>
      <c r="V30" s="31" t="s">
        <v>106</v>
      </c>
      <c r="W30" s="28"/>
      <c r="X30" s="33">
        <v>2595</v>
      </c>
      <c r="Y30" s="33"/>
      <c r="Z30" s="243">
        <v>1607845</v>
      </c>
      <c r="AA30" s="238"/>
      <c r="AB30" s="28"/>
      <c r="AC30" s="28"/>
      <c r="AD30" s="29" t="s">
        <v>103</v>
      </c>
    </row>
    <row r="31" spans="1:30" ht="13.5" x14ac:dyDescent="0.25">
      <c r="A31" s="28"/>
      <c r="B31" s="320" t="s">
        <v>107</v>
      </c>
      <c r="C31" s="321"/>
      <c r="D31" s="321"/>
      <c r="E31" s="321"/>
      <c r="F31" s="321"/>
      <c r="G31" s="321"/>
      <c r="H31" s="321"/>
      <c r="I31" s="321"/>
      <c r="J31" s="321"/>
      <c r="K31" s="321"/>
      <c r="L31" s="321"/>
      <c r="M31" s="321"/>
      <c r="N31" s="321"/>
      <c r="O31" s="321"/>
      <c r="P31" s="321"/>
      <c r="Q31" s="321"/>
      <c r="R31" s="321"/>
      <c r="S31" s="321"/>
      <c r="T31" s="321"/>
      <c r="U31" s="321"/>
      <c r="V31" s="321"/>
      <c r="W31" s="321"/>
      <c r="X31" s="321"/>
      <c r="Y31" s="321"/>
      <c r="Z31" s="321"/>
      <c r="AA31" s="321"/>
      <c r="AB31" s="321"/>
      <c r="AC31" s="321"/>
      <c r="AD31" s="322"/>
    </row>
    <row r="32" spans="1:30" ht="38.25" x14ac:dyDescent="0.2">
      <c r="A32" s="30">
        <f>+A31+1</f>
        <v>1</v>
      </c>
      <c r="B32" s="31" t="s">
        <v>108</v>
      </c>
      <c r="C32" s="31" t="s">
        <v>109</v>
      </c>
      <c r="D32" s="28"/>
      <c r="E32" s="32"/>
      <c r="F32" s="230"/>
      <c r="G32" s="230"/>
      <c r="H32" s="230"/>
      <c r="I32" s="32"/>
      <c r="J32" s="230"/>
      <c r="K32" s="230"/>
      <c r="L32" s="230" t="s">
        <v>45</v>
      </c>
      <c r="M32" s="32"/>
      <c r="N32" s="230"/>
      <c r="O32" s="230"/>
      <c r="P32" s="230"/>
      <c r="Q32" s="32"/>
      <c r="R32" s="230"/>
      <c r="S32" s="230"/>
      <c r="T32" s="230"/>
      <c r="U32" s="32"/>
      <c r="V32" s="31" t="s">
        <v>110</v>
      </c>
      <c r="W32" s="28"/>
      <c r="X32" s="36">
        <v>500</v>
      </c>
      <c r="Y32" s="36"/>
      <c r="Z32" s="243"/>
      <c r="AA32" s="238"/>
      <c r="AB32" s="28"/>
      <c r="AC32" s="28"/>
      <c r="AD32" s="29" t="s">
        <v>111</v>
      </c>
    </row>
    <row r="33" spans="1:30" ht="51" x14ac:dyDescent="0.2">
      <c r="A33" s="30">
        <f>+A32+1</f>
        <v>2</v>
      </c>
      <c r="B33" s="31" t="s">
        <v>112</v>
      </c>
      <c r="C33" s="31" t="s">
        <v>113</v>
      </c>
      <c r="D33" s="28"/>
      <c r="E33" s="32"/>
      <c r="F33" s="230" t="s">
        <v>45</v>
      </c>
      <c r="G33" s="230" t="s">
        <v>45</v>
      </c>
      <c r="H33" s="230" t="s">
        <v>45</v>
      </c>
      <c r="I33" s="32"/>
      <c r="J33" s="230" t="s">
        <v>45</v>
      </c>
      <c r="K33" s="230" t="s">
        <v>45</v>
      </c>
      <c r="L33" s="230" t="s">
        <v>45</v>
      </c>
      <c r="M33" s="32"/>
      <c r="N33" s="230" t="s">
        <v>45</v>
      </c>
      <c r="O33" s="230" t="s">
        <v>45</v>
      </c>
      <c r="P33" s="230" t="s">
        <v>45</v>
      </c>
      <c r="Q33" s="32"/>
      <c r="R33" s="230" t="s">
        <v>45</v>
      </c>
      <c r="S33" s="230" t="s">
        <v>45</v>
      </c>
      <c r="T33" s="230" t="s">
        <v>45</v>
      </c>
      <c r="U33" s="32"/>
      <c r="V33" s="31" t="s">
        <v>114</v>
      </c>
      <c r="W33" s="28"/>
      <c r="X33" s="33">
        <v>20000</v>
      </c>
      <c r="Y33" s="33"/>
      <c r="Z33" s="243">
        <v>17074182</v>
      </c>
      <c r="AA33" s="238"/>
      <c r="AB33" s="28"/>
      <c r="AC33" s="28"/>
      <c r="AD33" s="29" t="s">
        <v>111</v>
      </c>
    </row>
    <row r="34" spans="1:30" ht="13.5" x14ac:dyDescent="0.25">
      <c r="A34" s="28"/>
      <c r="B34" s="320" t="s">
        <v>115</v>
      </c>
      <c r="C34" s="321"/>
      <c r="D34" s="321"/>
      <c r="E34" s="321"/>
      <c r="F34" s="321"/>
      <c r="G34" s="321"/>
      <c r="H34" s="321"/>
      <c r="I34" s="321"/>
      <c r="J34" s="321"/>
      <c r="K34" s="321"/>
      <c r="L34" s="321"/>
      <c r="M34" s="321"/>
      <c r="N34" s="321"/>
      <c r="O34" s="321"/>
      <c r="P34" s="321"/>
      <c r="Q34" s="321"/>
      <c r="R34" s="321"/>
      <c r="S34" s="321"/>
      <c r="T34" s="321"/>
      <c r="U34" s="321"/>
      <c r="V34" s="321"/>
      <c r="W34" s="321"/>
      <c r="X34" s="321"/>
      <c r="Y34" s="321"/>
      <c r="Z34" s="321"/>
      <c r="AA34" s="321"/>
      <c r="AB34" s="321"/>
      <c r="AC34" s="321"/>
      <c r="AD34" s="322"/>
    </row>
    <row r="35" spans="1:30" ht="36.75" customHeight="1" x14ac:dyDescent="0.2">
      <c r="A35" s="30">
        <f>+A34+1</f>
        <v>1</v>
      </c>
      <c r="B35" s="31" t="s">
        <v>116</v>
      </c>
      <c r="C35" s="31" t="s">
        <v>117</v>
      </c>
      <c r="D35" s="29" t="s">
        <v>118</v>
      </c>
      <c r="E35" s="32"/>
      <c r="F35" s="230" t="s">
        <v>45</v>
      </c>
      <c r="G35" s="230" t="s">
        <v>45</v>
      </c>
      <c r="H35" s="230" t="s">
        <v>45</v>
      </c>
      <c r="I35" s="32"/>
      <c r="J35" s="230" t="s">
        <v>45</v>
      </c>
      <c r="K35" s="230" t="s">
        <v>45</v>
      </c>
      <c r="L35" s="230" t="s">
        <v>45</v>
      </c>
      <c r="M35" s="32"/>
      <c r="N35" s="230" t="s">
        <v>45</v>
      </c>
      <c r="O35" s="230" t="s">
        <v>45</v>
      </c>
      <c r="P35" s="230" t="s">
        <v>45</v>
      </c>
      <c r="Q35" s="32"/>
      <c r="R35" s="230" t="s">
        <v>45</v>
      </c>
      <c r="S35" s="230" t="s">
        <v>45</v>
      </c>
      <c r="T35" s="230" t="s">
        <v>45</v>
      </c>
      <c r="U35" s="32"/>
      <c r="V35" s="29" t="s">
        <v>119</v>
      </c>
      <c r="W35" s="28"/>
      <c r="X35" s="33">
        <v>1750</v>
      </c>
      <c r="Y35" s="33"/>
      <c r="Z35" s="33"/>
      <c r="AA35" s="33"/>
      <c r="AB35" s="28"/>
      <c r="AC35" s="28"/>
      <c r="AD35" s="29" t="s">
        <v>120</v>
      </c>
    </row>
    <row r="36" spans="1:30" x14ac:dyDescent="0.2">
      <c r="A36" s="28"/>
      <c r="B36" s="323" t="s">
        <v>121</v>
      </c>
      <c r="C36" s="324"/>
      <c r="D36" s="324"/>
      <c r="E36" s="324"/>
      <c r="F36" s="324"/>
      <c r="G36" s="324"/>
      <c r="H36" s="324"/>
      <c r="I36" s="324"/>
      <c r="J36" s="324"/>
      <c r="K36" s="324"/>
      <c r="L36" s="324"/>
      <c r="M36" s="324"/>
      <c r="N36" s="324"/>
      <c r="O36" s="324"/>
      <c r="P36" s="324"/>
      <c r="Q36" s="324"/>
      <c r="R36" s="324"/>
      <c r="S36" s="324"/>
      <c r="T36" s="324"/>
      <c r="U36" s="324"/>
      <c r="V36" s="324"/>
      <c r="W36" s="324"/>
      <c r="X36" s="324"/>
      <c r="Y36" s="324"/>
      <c r="Z36" s="324"/>
      <c r="AA36" s="324"/>
      <c r="AB36" s="324"/>
      <c r="AC36" s="324"/>
      <c r="AD36" s="325"/>
    </row>
    <row r="37" spans="1:30" ht="13.5" x14ac:dyDescent="0.25">
      <c r="A37" s="28"/>
      <c r="B37" s="320" t="s">
        <v>122</v>
      </c>
      <c r="C37" s="321"/>
      <c r="D37" s="321"/>
      <c r="E37" s="321"/>
      <c r="F37" s="321"/>
      <c r="G37" s="321"/>
      <c r="H37" s="321"/>
      <c r="I37" s="321"/>
      <c r="J37" s="321"/>
      <c r="K37" s="321"/>
      <c r="L37" s="321"/>
      <c r="M37" s="321"/>
      <c r="N37" s="321"/>
      <c r="O37" s="321"/>
      <c r="P37" s="321"/>
      <c r="Q37" s="321"/>
      <c r="R37" s="321"/>
      <c r="S37" s="321"/>
      <c r="T37" s="321"/>
      <c r="U37" s="321"/>
      <c r="V37" s="321"/>
      <c r="W37" s="321"/>
      <c r="X37" s="321"/>
      <c r="Y37" s="321"/>
      <c r="Z37" s="321"/>
      <c r="AA37" s="321"/>
      <c r="AB37" s="321"/>
      <c r="AC37" s="321"/>
      <c r="AD37" s="322"/>
    </row>
    <row r="38" spans="1:30" ht="76.5" x14ac:dyDescent="0.2">
      <c r="A38" s="30">
        <f>+A37+1</f>
        <v>1</v>
      </c>
      <c r="B38" s="31" t="s">
        <v>123</v>
      </c>
      <c r="C38" s="29" t="s">
        <v>124</v>
      </c>
      <c r="D38" s="31" t="s">
        <v>125</v>
      </c>
      <c r="E38" s="32"/>
      <c r="F38" s="230" t="s">
        <v>45</v>
      </c>
      <c r="G38" s="230" t="s">
        <v>45</v>
      </c>
      <c r="H38" s="230" t="s">
        <v>45</v>
      </c>
      <c r="I38" s="32"/>
      <c r="J38" s="230"/>
      <c r="K38" s="230"/>
      <c r="L38" s="230"/>
      <c r="M38" s="32"/>
      <c r="N38" s="230"/>
      <c r="O38" s="230"/>
      <c r="P38" s="230"/>
      <c r="Q38" s="32"/>
      <c r="R38" s="230"/>
      <c r="S38" s="230"/>
      <c r="T38" s="230"/>
      <c r="U38" s="32"/>
      <c r="V38" s="31" t="s">
        <v>126</v>
      </c>
      <c r="W38" s="28"/>
      <c r="X38" s="37">
        <v>2500</v>
      </c>
      <c r="Y38" s="37"/>
      <c r="Z38" s="243"/>
      <c r="AA38" s="238"/>
      <c r="AB38" s="28"/>
      <c r="AC38" s="28"/>
      <c r="AD38" s="29" t="s">
        <v>127</v>
      </c>
    </row>
    <row r="39" spans="1:30" ht="191.25" x14ac:dyDescent="0.2">
      <c r="A39" s="30">
        <f>+A38+1</f>
        <v>2</v>
      </c>
      <c r="B39" s="31" t="s">
        <v>128</v>
      </c>
      <c r="C39" s="29" t="s">
        <v>129</v>
      </c>
      <c r="D39" s="31" t="s">
        <v>125</v>
      </c>
      <c r="E39" s="32"/>
      <c r="F39" s="230" t="s">
        <v>45</v>
      </c>
      <c r="G39" s="230" t="s">
        <v>45</v>
      </c>
      <c r="H39" s="230" t="s">
        <v>45</v>
      </c>
      <c r="I39" s="32"/>
      <c r="J39" s="230"/>
      <c r="K39" s="230"/>
      <c r="L39" s="230"/>
      <c r="M39" s="32"/>
      <c r="N39" s="230"/>
      <c r="O39" s="230"/>
      <c r="P39" s="230"/>
      <c r="Q39" s="32"/>
      <c r="R39" s="230"/>
      <c r="S39" s="230"/>
      <c r="T39" s="230"/>
      <c r="U39" s="32"/>
      <c r="V39" s="31" t="s">
        <v>126</v>
      </c>
      <c r="W39" s="28"/>
      <c r="X39" s="37">
        <v>2500</v>
      </c>
      <c r="Y39" s="37"/>
      <c r="Z39" s="243"/>
      <c r="AA39" s="238"/>
      <c r="AB39" s="28"/>
      <c r="AC39" s="28"/>
      <c r="AD39" s="29" t="s">
        <v>127</v>
      </c>
    </row>
    <row r="40" spans="1:30" ht="45" customHeight="1" x14ac:dyDescent="0.2">
      <c r="A40" s="30">
        <f>+A39+1</f>
        <v>3</v>
      </c>
      <c r="B40" s="31" t="s">
        <v>130</v>
      </c>
      <c r="C40" s="29" t="s">
        <v>131</v>
      </c>
      <c r="D40" s="31" t="s">
        <v>125</v>
      </c>
      <c r="E40" s="32"/>
      <c r="F40" s="230" t="s">
        <v>45</v>
      </c>
      <c r="G40" s="230" t="s">
        <v>45</v>
      </c>
      <c r="H40" s="230" t="s">
        <v>45</v>
      </c>
      <c r="I40" s="32"/>
      <c r="J40" s="230"/>
      <c r="K40" s="230"/>
      <c r="L40" s="230"/>
      <c r="M40" s="32"/>
      <c r="N40" s="230"/>
      <c r="O40" s="230"/>
      <c r="P40" s="230"/>
      <c r="Q40" s="32"/>
      <c r="R40" s="230"/>
      <c r="S40" s="230"/>
      <c r="T40" s="230"/>
      <c r="U40" s="32"/>
      <c r="V40" s="31" t="s">
        <v>126</v>
      </c>
      <c r="W40" s="28"/>
      <c r="X40" s="37">
        <v>7500</v>
      </c>
      <c r="Y40" s="37"/>
      <c r="Z40" s="243"/>
      <c r="AA40" s="238"/>
      <c r="AB40" s="28"/>
      <c r="AC40" s="28"/>
      <c r="AD40" s="29" t="s">
        <v>127</v>
      </c>
    </row>
    <row r="41" spans="1:30" ht="114.75" x14ac:dyDescent="0.2">
      <c r="A41" s="30">
        <f>+A40+1</f>
        <v>4</v>
      </c>
      <c r="B41" s="31" t="s">
        <v>132</v>
      </c>
      <c r="C41" s="29" t="s">
        <v>133</v>
      </c>
      <c r="D41" s="31" t="s">
        <v>125</v>
      </c>
      <c r="E41" s="32"/>
      <c r="F41" s="230" t="s">
        <v>45</v>
      </c>
      <c r="G41" s="230" t="s">
        <v>45</v>
      </c>
      <c r="H41" s="230" t="s">
        <v>45</v>
      </c>
      <c r="I41" s="32"/>
      <c r="J41" s="230"/>
      <c r="K41" s="230"/>
      <c r="L41" s="230"/>
      <c r="M41" s="32"/>
      <c r="N41" s="230"/>
      <c r="O41" s="230"/>
      <c r="P41" s="230"/>
      <c r="Q41" s="32"/>
      <c r="R41" s="230"/>
      <c r="S41" s="230"/>
      <c r="T41" s="230"/>
      <c r="U41" s="32"/>
      <c r="V41" s="31" t="s">
        <v>134</v>
      </c>
      <c r="W41" s="28"/>
      <c r="X41" s="33">
        <v>5500</v>
      </c>
      <c r="Y41" s="33"/>
      <c r="Z41" s="243">
        <v>307500</v>
      </c>
      <c r="AA41" s="238"/>
      <c r="AB41" s="28"/>
      <c r="AC41" s="28"/>
      <c r="AD41" s="29" t="s">
        <v>127</v>
      </c>
    </row>
    <row r="42" spans="1:30" ht="13.5" x14ac:dyDescent="0.25">
      <c r="A42" s="28"/>
      <c r="B42" s="320" t="s">
        <v>135</v>
      </c>
      <c r="C42" s="321"/>
      <c r="D42" s="321"/>
      <c r="E42" s="321"/>
      <c r="F42" s="321"/>
      <c r="G42" s="321"/>
      <c r="H42" s="321"/>
      <c r="I42" s="321"/>
      <c r="J42" s="321"/>
      <c r="K42" s="321"/>
      <c r="L42" s="321"/>
      <c r="M42" s="321"/>
      <c r="N42" s="321"/>
      <c r="O42" s="321"/>
      <c r="P42" s="321"/>
      <c r="Q42" s="321"/>
      <c r="R42" s="321"/>
      <c r="S42" s="321"/>
      <c r="T42" s="321"/>
      <c r="U42" s="321"/>
      <c r="V42" s="321"/>
      <c r="W42" s="321"/>
      <c r="X42" s="321"/>
      <c r="Y42" s="321"/>
      <c r="Z42" s="321"/>
      <c r="AA42" s="321"/>
      <c r="AB42" s="321"/>
      <c r="AC42" s="321"/>
      <c r="AD42" s="322"/>
    </row>
    <row r="43" spans="1:30" ht="32.25" customHeight="1" x14ac:dyDescent="0.2">
      <c r="A43" s="38">
        <f>+A42+1</f>
        <v>1</v>
      </c>
      <c r="B43" s="39" t="s">
        <v>136</v>
      </c>
      <c r="C43" s="34" t="s">
        <v>137</v>
      </c>
      <c r="D43" s="29" t="s">
        <v>138</v>
      </c>
      <c r="E43" s="32"/>
      <c r="F43" s="230" t="s">
        <v>45</v>
      </c>
      <c r="G43" s="230" t="s">
        <v>45</v>
      </c>
      <c r="H43" s="230" t="s">
        <v>45</v>
      </c>
      <c r="I43" s="32"/>
      <c r="J43" s="230" t="s">
        <v>45</v>
      </c>
      <c r="K43" s="230" t="s">
        <v>45</v>
      </c>
      <c r="L43" s="230" t="s">
        <v>45</v>
      </c>
      <c r="M43" s="32"/>
      <c r="N43" s="230" t="s">
        <v>45</v>
      </c>
      <c r="O43" s="230" t="s">
        <v>45</v>
      </c>
      <c r="P43" s="230" t="s">
        <v>45</v>
      </c>
      <c r="Q43" s="32"/>
      <c r="R43" s="230" t="s">
        <v>45</v>
      </c>
      <c r="S43" s="230" t="s">
        <v>45</v>
      </c>
      <c r="T43" s="230" t="s">
        <v>45</v>
      </c>
      <c r="U43" s="32"/>
      <c r="V43" s="39" t="s">
        <v>139</v>
      </c>
      <c r="W43" s="28"/>
      <c r="X43" s="37">
        <v>13320</v>
      </c>
      <c r="Y43" s="37"/>
      <c r="Z43" s="243">
        <v>10687176</v>
      </c>
      <c r="AA43" s="238"/>
      <c r="AB43" s="28"/>
      <c r="AC43" s="28"/>
      <c r="AD43" s="29" t="s">
        <v>127</v>
      </c>
    </row>
    <row r="44" spans="1:30" ht="114.75" x14ac:dyDescent="0.2">
      <c r="A44" s="38">
        <f>+A43+1</f>
        <v>2</v>
      </c>
      <c r="B44" s="39" t="s">
        <v>140</v>
      </c>
      <c r="C44" s="71" t="s">
        <v>141</v>
      </c>
      <c r="D44" s="28"/>
      <c r="E44" s="32"/>
      <c r="F44" s="230" t="s">
        <v>45</v>
      </c>
      <c r="G44" s="230" t="s">
        <v>45</v>
      </c>
      <c r="H44" s="230" t="s">
        <v>45</v>
      </c>
      <c r="I44" s="32"/>
      <c r="J44" s="230" t="s">
        <v>45</v>
      </c>
      <c r="K44" s="230" t="s">
        <v>45</v>
      </c>
      <c r="L44" s="230" t="s">
        <v>45</v>
      </c>
      <c r="M44" s="32"/>
      <c r="N44" s="230" t="s">
        <v>45</v>
      </c>
      <c r="O44" s="230" t="s">
        <v>45</v>
      </c>
      <c r="P44" s="230" t="s">
        <v>45</v>
      </c>
      <c r="Q44" s="32"/>
      <c r="R44" s="230" t="s">
        <v>45</v>
      </c>
      <c r="S44" s="230" t="s">
        <v>45</v>
      </c>
      <c r="T44" s="230" t="s">
        <v>45</v>
      </c>
      <c r="U44" s="32"/>
      <c r="V44" s="72" t="s">
        <v>142</v>
      </c>
      <c r="W44" s="28"/>
      <c r="X44" s="37">
        <v>79310</v>
      </c>
      <c r="Y44" s="37"/>
      <c r="Z44" s="243">
        <v>32441000</v>
      </c>
      <c r="AA44" s="238"/>
      <c r="AB44" s="28"/>
      <c r="AC44" s="28"/>
      <c r="AD44" s="29" t="s">
        <v>143</v>
      </c>
    </row>
    <row r="45" spans="1:30" ht="114.75" x14ac:dyDescent="0.2">
      <c r="A45" s="38">
        <f>+A44+1</f>
        <v>3</v>
      </c>
      <c r="B45" s="39" t="s">
        <v>144</v>
      </c>
      <c r="C45" s="71" t="s">
        <v>145</v>
      </c>
      <c r="D45" s="28"/>
      <c r="E45" s="32"/>
      <c r="F45" s="230" t="s">
        <v>45</v>
      </c>
      <c r="G45" s="230" t="s">
        <v>45</v>
      </c>
      <c r="H45" s="230" t="s">
        <v>45</v>
      </c>
      <c r="I45" s="32"/>
      <c r="J45" s="230" t="s">
        <v>45</v>
      </c>
      <c r="K45" s="230" t="s">
        <v>45</v>
      </c>
      <c r="L45" s="230" t="s">
        <v>45</v>
      </c>
      <c r="M45" s="32"/>
      <c r="N45" s="230" t="s">
        <v>45</v>
      </c>
      <c r="O45" s="230" t="s">
        <v>45</v>
      </c>
      <c r="P45" s="230" t="s">
        <v>45</v>
      </c>
      <c r="Q45" s="32"/>
      <c r="R45" s="230" t="s">
        <v>45</v>
      </c>
      <c r="S45" s="230" t="s">
        <v>45</v>
      </c>
      <c r="T45" s="230" t="s">
        <v>45</v>
      </c>
      <c r="U45" s="32"/>
      <c r="V45" s="72" t="s">
        <v>146</v>
      </c>
      <c r="W45" s="28"/>
      <c r="X45" s="33">
        <v>74510</v>
      </c>
      <c r="Y45" s="33"/>
      <c r="Z45" s="243">
        <v>36741000</v>
      </c>
      <c r="AA45" s="238"/>
      <c r="AB45" s="28"/>
      <c r="AC45" s="28"/>
      <c r="AD45" s="29" t="s">
        <v>143</v>
      </c>
    </row>
    <row r="46" spans="1:30" ht="114.75" x14ac:dyDescent="0.2">
      <c r="A46" s="38">
        <f>+A45+1</f>
        <v>4</v>
      </c>
      <c r="B46" s="39" t="s">
        <v>515</v>
      </c>
      <c r="C46" s="71" t="s">
        <v>514</v>
      </c>
      <c r="D46" s="28"/>
      <c r="E46" s="32"/>
      <c r="F46" s="230"/>
      <c r="G46" s="230"/>
      <c r="H46" s="230" t="s">
        <v>45</v>
      </c>
      <c r="I46" s="32"/>
      <c r="J46" s="230" t="s">
        <v>45</v>
      </c>
      <c r="K46" s="230" t="s">
        <v>45</v>
      </c>
      <c r="L46" s="230" t="s">
        <v>45</v>
      </c>
      <c r="M46" s="32"/>
      <c r="N46" s="230" t="s">
        <v>45</v>
      </c>
      <c r="O46" s="230" t="s">
        <v>45</v>
      </c>
      <c r="P46" s="230" t="s">
        <v>45</v>
      </c>
      <c r="Q46" s="32"/>
      <c r="R46" s="230" t="s">
        <v>45</v>
      </c>
      <c r="S46" s="230" t="s">
        <v>45</v>
      </c>
      <c r="T46" s="230" t="s">
        <v>45</v>
      </c>
      <c r="U46" s="32"/>
      <c r="V46" s="72" t="s">
        <v>516</v>
      </c>
      <c r="W46" s="28"/>
      <c r="X46" s="33">
        <v>35000</v>
      </c>
      <c r="Y46" s="33"/>
      <c r="Z46" s="243">
        <v>546200</v>
      </c>
      <c r="AA46" s="238"/>
      <c r="AB46" s="28"/>
      <c r="AC46" s="28"/>
      <c r="AD46" s="29" t="s">
        <v>517</v>
      </c>
    </row>
    <row r="47" spans="1:30" ht="13.5" x14ac:dyDescent="0.25">
      <c r="A47" s="28"/>
      <c r="B47" s="320" t="s">
        <v>147</v>
      </c>
      <c r="C47" s="321"/>
      <c r="D47" s="321"/>
      <c r="E47" s="321"/>
      <c r="F47" s="321"/>
      <c r="G47" s="321"/>
      <c r="H47" s="321"/>
      <c r="I47" s="321"/>
      <c r="J47" s="321"/>
      <c r="K47" s="321"/>
      <c r="L47" s="321"/>
      <c r="M47" s="321"/>
      <c r="N47" s="321"/>
      <c r="O47" s="321"/>
      <c r="P47" s="321"/>
      <c r="Q47" s="321"/>
      <c r="R47" s="321"/>
      <c r="S47" s="321"/>
      <c r="T47" s="321"/>
      <c r="U47" s="321"/>
      <c r="V47" s="321"/>
      <c r="W47" s="321"/>
      <c r="X47" s="321"/>
      <c r="Y47" s="321"/>
      <c r="Z47" s="321"/>
      <c r="AA47" s="321"/>
      <c r="AB47" s="321"/>
      <c r="AC47" s="321"/>
      <c r="AD47" s="322"/>
    </row>
    <row r="48" spans="1:30" ht="141.75" customHeight="1" x14ac:dyDescent="0.2">
      <c r="A48" s="40">
        <f>+A47+1</f>
        <v>1</v>
      </c>
      <c r="B48" s="31" t="s">
        <v>148</v>
      </c>
      <c r="C48" s="41" t="s">
        <v>149</v>
      </c>
      <c r="D48" s="41" t="s">
        <v>150</v>
      </c>
      <c r="E48" s="32"/>
      <c r="F48" s="230" t="s">
        <v>45</v>
      </c>
      <c r="G48" s="230" t="s">
        <v>45</v>
      </c>
      <c r="H48" s="230" t="s">
        <v>45</v>
      </c>
      <c r="I48" s="32"/>
      <c r="J48" s="230" t="s">
        <v>45</v>
      </c>
      <c r="K48" s="230" t="s">
        <v>45</v>
      </c>
      <c r="L48" s="230" t="s">
        <v>45</v>
      </c>
      <c r="M48" s="32"/>
      <c r="N48" s="230" t="s">
        <v>45</v>
      </c>
      <c r="O48" s="230" t="s">
        <v>45</v>
      </c>
      <c r="P48" s="230" t="s">
        <v>45</v>
      </c>
      <c r="Q48" s="32"/>
      <c r="R48" s="230" t="s">
        <v>45</v>
      </c>
      <c r="S48" s="230" t="s">
        <v>45</v>
      </c>
      <c r="T48" s="230" t="s">
        <v>45</v>
      </c>
      <c r="U48" s="32"/>
      <c r="V48" s="215" t="s">
        <v>151</v>
      </c>
      <c r="W48" s="28"/>
      <c r="X48" s="33">
        <v>20000</v>
      </c>
      <c r="Y48" s="33"/>
      <c r="Z48" s="243">
        <v>300000</v>
      </c>
      <c r="AA48" s="238"/>
      <c r="AB48" s="28"/>
      <c r="AC48" s="28"/>
      <c r="AD48" s="29" t="s">
        <v>152</v>
      </c>
    </row>
    <row r="49" spans="1:31" x14ac:dyDescent="0.2">
      <c r="A49" s="28"/>
      <c r="B49" s="323" t="s">
        <v>153</v>
      </c>
      <c r="C49" s="324"/>
      <c r="D49" s="324"/>
      <c r="E49" s="324"/>
      <c r="F49" s="324"/>
      <c r="G49" s="324"/>
      <c r="H49" s="324"/>
      <c r="I49" s="324"/>
      <c r="J49" s="324"/>
      <c r="K49" s="324"/>
      <c r="L49" s="324"/>
      <c r="M49" s="324"/>
      <c r="N49" s="324"/>
      <c r="O49" s="324"/>
      <c r="P49" s="324"/>
      <c r="Q49" s="324"/>
      <c r="R49" s="324"/>
      <c r="S49" s="324"/>
      <c r="T49" s="324"/>
      <c r="U49" s="324"/>
      <c r="V49" s="324"/>
      <c r="W49" s="324"/>
      <c r="X49" s="324"/>
      <c r="Y49" s="324"/>
      <c r="Z49" s="324"/>
      <c r="AA49" s="324"/>
      <c r="AB49" s="324"/>
      <c r="AC49" s="324"/>
      <c r="AD49" s="325"/>
    </row>
    <row r="50" spans="1:31" ht="13.5" x14ac:dyDescent="0.25">
      <c r="A50" s="28"/>
      <c r="B50" s="320" t="s">
        <v>154</v>
      </c>
      <c r="C50" s="321"/>
      <c r="D50" s="321"/>
      <c r="E50" s="321"/>
      <c r="F50" s="321"/>
      <c r="G50" s="321"/>
      <c r="H50" s="321"/>
      <c r="I50" s="321"/>
      <c r="J50" s="321"/>
      <c r="K50" s="321"/>
      <c r="L50" s="321"/>
      <c r="M50" s="321"/>
      <c r="N50" s="321"/>
      <c r="O50" s="321"/>
      <c r="P50" s="321"/>
      <c r="Q50" s="321"/>
      <c r="R50" s="321"/>
      <c r="S50" s="321"/>
      <c r="T50" s="321"/>
      <c r="U50" s="321"/>
      <c r="V50" s="321"/>
      <c r="W50" s="321"/>
      <c r="X50" s="321"/>
      <c r="Y50" s="321"/>
      <c r="Z50" s="321"/>
      <c r="AA50" s="321"/>
      <c r="AB50" s="321"/>
      <c r="AC50" s="321"/>
      <c r="AD50" s="322"/>
    </row>
    <row r="51" spans="1:31" s="231" customFormat="1" ht="229.5" x14ac:dyDescent="0.2">
      <c r="A51" s="30">
        <f>+A50+1</f>
        <v>1</v>
      </c>
      <c r="B51" s="39" t="s">
        <v>155</v>
      </c>
      <c r="C51" s="39" t="s">
        <v>156</v>
      </c>
      <c r="D51" s="39" t="s">
        <v>157</v>
      </c>
      <c r="E51" s="42"/>
      <c r="F51" s="43" t="s">
        <v>45</v>
      </c>
      <c r="G51" s="43" t="s">
        <v>45</v>
      </c>
      <c r="H51" s="43" t="s">
        <v>45</v>
      </c>
      <c r="I51" s="42"/>
      <c r="J51" s="43" t="s">
        <v>45</v>
      </c>
      <c r="K51" s="43" t="s">
        <v>45</v>
      </c>
      <c r="L51" s="43" t="s">
        <v>45</v>
      </c>
      <c r="M51" s="42"/>
      <c r="N51" s="43" t="s">
        <v>45</v>
      </c>
      <c r="O51" s="43" t="s">
        <v>45</v>
      </c>
      <c r="P51" s="43" t="s">
        <v>45</v>
      </c>
      <c r="Q51" s="42"/>
      <c r="R51" s="43" t="s">
        <v>45</v>
      </c>
      <c r="S51" s="43" t="s">
        <v>45</v>
      </c>
      <c r="T51" s="43" t="s">
        <v>45</v>
      </c>
      <c r="U51" s="42"/>
      <c r="V51" s="31" t="s">
        <v>158</v>
      </c>
      <c r="W51" s="30"/>
      <c r="X51" s="45">
        <v>2400</v>
      </c>
      <c r="Y51" s="45"/>
      <c r="Z51" s="244">
        <v>366125</v>
      </c>
      <c r="AA51" s="238"/>
      <c r="AB51" s="30"/>
      <c r="AC51" s="30"/>
      <c r="AD51" s="31" t="s">
        <v>159</v>
      </c>
      <c r="AE51" s="27"/>
    </row>
    <row r="52" spans="1:31" s="231" customFormat="1" ht="153" x14ac:dyDescent="0.2">
      <c r="A52" s="30">
        <f>+A51+1</f>
        <v>2</v>
      </c>
      <c r="B52" s="39" t="s">
        <v>160</v>
      </c>
      <c r="C52" s="39" t="s">
        <v>161</v>
      </c>
      <c r="D52" s="39" t="s">
        <v>157</v>
      </c>
      <c r="E52" s="42"/>
      <c r="F52" s="43" t="s">
        <v>45</v>
      </c>
      <c r="G52" s="43" t="s">
        <v>45</v>
      </c>
      <c r="H52" s="43" t="s">
        <v>45</v>
      </c>
      <c r="I52" s="42"/>
      <c r="J52" s="43" t="s">
        <v>45</v>
      </c>
      <c r="K52" s="43" t="s">
        <v>45</v>
      </c>
      <c r="L52" s="43" t="s">
        <v>45</v>
      </c>
      <c r="M52" s="42"/>
      <c r="N52" s="43" t="s">
        <v>45</v>
      </c>
      <c r="O52" s="43" t="s">
        <v>45</v>
      </c>
      <c r="P52" s="43" t="s">
        <v>45</v>
      </c>
      <c r="Q52" s="42"/>
      <c r="R52" s="43" t="s">
        <v>45</v>
      </c>
      <c r="S52" s="43" t="s">
        <v>45</v>
      </c>
      <c r="T52" s="43" t="s">
        <v>45</v>
      </c>
      <c r="U52" s="42"/>
      <c r="V52" s="31" t="s">
        <v>162</v>
      </c>
      <c r="W52" s="30"/>
      <c r="X52" s="45">
        <v>8000</v>
      </c>
      <c r="Y52" s="45"/>
      <c r="Z52" s="244">
        <v>3280200</v>
      </c>
      <c r="AA52" s="238"/>
      <c r="AB52" s="30"/>
      <c r="AC52" s="30"/>
      <c r="AD52" s="31" t="s">
        <v>159</v>
      </c>
      <c r="AE52" s="27"/>
    </row>
    <row r="53" spans="1:31" s="231" customFormat="1" ht="191.25" x14ac:dyDescent="0.2">
      <c r="A53" s="30">
        <f>+A52+1</f>
        <v>3</v>
      </c>
      <c r="B53" s="39" t="s">
        <v>163</v>
      </c>
      <c r="C53" s="39" t="s">
        <v>164</v>
      </c>
      <c r="D53" s="39" t="s">
        <v>157</v>
      </c>
      <c r="E53" s="42"/>
      <c r="F53" s="43" t="s">
        <v>45</v>
      </c>
      <c r="G53" s="43" t="s">
        <v>45</v>
      </c>
      <c r="H53" s="43" t="s">
        <v>45</v>
      </c>
      <c r="I53" s="42"/>
      <c r="J53" s="43" t="s">
        <v>45</v>
      </c>
      <c r="K53" s="43" t="s">
        <v>45</v>
      </c>
      <c r="L53" s="43" t="s">
        <v>45</v>
      </c>
      <c r="M53" s="42"/>
      <c r="N53" s="43" t="s">
        <v>45</v>
      </c>
      <c r="O53" s="43" t="s">
        <v>45</v>
      </c>
      <c r="P53" s="43" t="s">
        <v>45</v>
      </c>
      <c r="Q53" s="42"/>
      <c r="R53" s="43" t="s">
        <v>45</v>
      </c>
      <c r="S53" s="43" t="s">
        <v>45</v>
      </c>
      <c r="T53" s="43" t="s">
        <v>45</v>
      </c>
      <c r="U53" s="42"/>
      <c r="V53" s="39" t="s">
        <v>165</v>
      </c>
      <c r="W53" s="30"/>
      <c r="X53" s="46">
        <v>8800</v>
      </c>
      <c r="Y53" s="46"/>
      <c r="Z53" s="244">
        <v>609750</v>
      </c>
      <c r="AA53" s="238"/>
      <c r="AB53" s="30"/>
      <c r="AC53" s="30"/>
      <c r="AD53" s="31" t="s">
        <v>159</v>
      </c>
      <c r="AE53" s="27"/>
    </row>
    <row r="54" spans="1:31" ht="165.75" x14ac:dyDescent="0.2">
      <c r="A54" s="30">
        <f>+A53+1</f>
        <v>4</v>
      </c>
      <c r="B54" s="39" t="s">
        <v>166</v>
      </c>
      <c r="C54" s="39" t="s">
        <v>167</v>
      </c>
      <c r="D54" s="39" t="s">
        <v>157</v>
      </c>
      <c r="E54" s="32"/>
      <c r="F54" s="230" t="s">
        <v>45</v>
      </c>
      <c r="G54" s="230" t="s">
        <v>45</v>
      </c>
      <c r="H54" s="230" t="s">
        <v>45</v>
      </c>
      <c r="I54" s="32"/>
      <c r="J54" s="230" t="s">
        <v>45</v>
      </c>
      <c r="K54" s="230" t="s">
        <v>45</v>
      </c>
      <c r="L54" s="230" t="s">
        <v>45</v>
      </c>
      <c r="M54" s="32"/>
      <c r="N54" s="230" t="s">
        <v>45</v>
      </c>
      <c r="O54" s="230" t="s">
        <v>45</v>
      </c>
      <c r="P54" s="230" t="s">
        <v>45</v>
      </c>
      <c r="Q54" s="32"/>
      <c r="R54" s="230" t="s">
        <v>45</v>
      </c>
      <c r="S54" s="230" t="s">
        <v>45</v>
      </c>
      <c r="T54" s="230" t="s">
        <v>45</v>
      </c>
      <c r="U54" s="32"/>
      <c r="V54" s="218" t="s">
        <v>168</v>
      </c>
      <c r="W54" s="28"/>
      <c r="X54" s="37">
        <v>6000</v>
      </c>
      <c r="Y54" s="37"/>
      <c r="Z54" s="244">
        <v>1314599</v>
      </c>
      <c r="AA54" s="238"/>
      <c r="AB54" s="28"/>
      <c r="AC54" s="28"/>
      <c r="AD54" s="31" t="s">
        <v>159</v>
      </c>
    </row>
    <row r="55" spans="1:31" ht="42.75" customHeight="1" x14ac:dyDescent="0.2">
      <c r="A55" s="30">
        <f>+A54+1</f>
        <v>5</v>
      </c>
      <c r="B55" s="39" t="s">
        <v>169</v>
      </c>
      <c r="C55" s="210" t="s">
        <v>170</v>
      </c>
      <c r="D55" s="210"/>
      <c r="E55" s="211"/>
      <c r="F55" s="230" t="s">
        <v>45</v>
      </c>
      <c r="G55" s="230" t="s">
        <v>45</v>
      </c>
      <c r="H55" s="230" t="s">
        <v>45</v>
      </c>
      <c r="I55" s="32"/>
      <c r="J55" s="230" t="s">
        <v>45</v>
      </c>
      <c r="K55" s="230" t="s">
        <v>45</v>
      </c>
      <c r="L55" s="230" t="s">
        <v>45</v>
      </c>
      <c r="M55" s="32"/>
      <c r="N55" s="230" t="s">
        <v>45</v>
      </c>
      <c r="O55" s="230" t="s">
        <v>45</v>
      </c>
      <c r="P55" s="230" t="s">
        <v>45</v>
      </c>
      <c r="Q55" s="32"/>
      <c r="R55" s="230" t="s">
        <v>45</v>
      </c>
      <c r="S55" s="230" t="s">
        <v>45</v>
      </c>
      <c r="T55" s="230" t="s">
        <v>45</v>
      </c>
      <c r="U55" s="211"/>
      <c r="V55" s="216" t="s">
        <v>171</v>
      </c>
      <c r="W55" s="212"/>
      <c r="X55" s="213">
        <v>2000</v>
      </c>
      <c r="Y55" s="213"/>
      <c r="Z55" s="244"/>
      <c r="AA55" s="242"/>
      <c r="AB55" s="212"/>
      <c r="AC55" s="212"/>
      <c r="AD55" s="31" t="s">
        <v>159</v>
      </c>
    </row>
    <row r="56" spans="1:31" ht="13.5" x14ac:dyDescent="0.25">
      <c r="A56" s="28"/>
      <c r="B56" s="320" t="s">
        <v>172</v>
      </c>
      <c r="C56" s="321"/>
      <c r="D56" s="321"/>
      <c r="E56" s="321"/>
      <c r="F56" s="321"/>
      <c r="G56" s="321"/>
      <c r="H56" s="321"/>
      <c r="I56" s="321"/>
      <c r="J56" s="321"/>
      <c r="K56" s="321"/>
      <c r="L56" s="321"/>
      <c r="M56" s="321"/>
      <c r="N56" s="321"/>
      <c r="O56" s="321"/>
      <c r="P56" s="321"/>
      <c r="Q56" s="321"/>
      <c r="R56" s="321"/>
      <c r="S56" s="321"/>
      <c r="T56" s="321"/>
      <c r="U56" s="321"/>
      <c r="V56" s="321"/>
      <c r="W56" s="321"/>
      <c r="X56" s="321"/>
      <c r="Y56" s="321"/>
      <c r="Z56" s="321"/>
      <c r="AA56" s="321"/>
      <c r="AB56" s="321"/>
      <c r="AC56" s="321"/>
      <c r="AD56" s="322"/>
    </row>
    <row r="57" spans="1:31" s="231" customFormat="1" ht="42" customHeight="1" x14ac:dyDescent="0.2">
      <c r="A57" s="30">
        <f>+A56+1</f>
        <v>1</v>
      </c>
      <c r="B57" s="39" t="s">
        <v>173</v>
      </c>
      <c r="C57" s="39" t="s">
        <v>174</v>
      </c>
      <c r="D57" s="39" t="s">
        <v>157</v>
      </c>
      <c r="E57" s="42"/>
      <c r="F57" s="43" t="s">
        <v>45</v>
      </c>
      <c r="G57" s="43" t="s">
        <v>45</v>
      </c>
      <c r="H57" s="43" t="s">
        <v>45</v>
      </c>
      <c r="I57" s="42"/>
      <c r="J57" s="43" t="s">
        <v>45</v>
      </c>
      <c r="K57" s="43" t="s">
        <v>45</v>
      </c>
      <c r="L57" s="43" t="s">
        <v>45</v>
      </c>
      <c r="M57" s="42"/>
      <c r="N57" s="43" t="s">
        <v>45</v>
      </c>
      <c r="O57" s="43" t="s">
        <v>45</v>
      </c>
      <c r="P57" s="43" t="s">
        <v>45</v>
      </c>
      <c r="Q57" s="42"/>
      <c r="R57" s="43" t="s">
        <v>45</v>
      </c>
      <c r="S57" s="43" t="s">
        <v>45</v>
      </c>
      <c r="T57" s="43" t="s">
        <v>45</v>
      </c>
      <c r="U57" s="42"/>
      <c r="V57" s="29" t="s">
        <v>175</v>
      </c>
      <c r="W57" s="30"/>
      <c r="X57" s="187">
        <v>6000</v>
      </c>
      <c r="Y57" s="187"/>
      <c r="Z57" s="244">
        <v>221500</v>
      </c>
      <c r="AA57" s="238"/>
      <c r="AB57" s="30"/>
      <c r="AC57" s="30"/>
      <c r="AD57" s="31" t="s">
        <v>159</v>
      </c>
      <c r="AE57" s="27"/>
    </row>
    <row r="58" spans="1:31" s="231" customFormat="1" ht="36" customHeight="1" x14ac:dyDescent="0.2">
      <c r="A58" s="30">
        <f>+A57+1</f>
        <v>2</v>
      </c>
      <c r="B58" s="39" t="s">
        <v>176</v>
      </c>
      <c r="C58" s="39" t="s">
        <v>174</v>
      </c>
      <c r="D58" s="39" t="s">
        <v>157</v>
      </c>
      <c r="E58" s="42"/>
      <c r="F58" s="43" t="s">
        <v>45</v>
      </c>
      <c r="G58" s="43" t="s">
        <v>45</v>
      </c>
      <c r="H58" s="43" t="s">
        <v>45</v>
      </c>
      <c r="I58" s="42"/>
      <c r="J58" s="43" t="s">
        <v>45</v>
      </c>
      <c r="K58" s="43" t="s">
        <v>45</v>
      </c>
      <c r="L58" s="43" t="s">
        <v>45</v>
      </c>
      <c r="M58" s="42"/>
      <c r="N58" s="43" t="s">
        <v>45</v>
      </c>
      <c r="O58" s="43" t="s">
        <v>45</v>
      </c>
      <c r="P58" s="43" t="s">
        <v>45</v>
      </c>
      <c r="Q58" s="42"/>
      <c r="R58" s="43" t="s">
        <v>45</v>
      </c>
      <c r="S58" s="43" t="s">
        <v>45</v>
      </c>
      <c r="T58" s="43" t="s">
        <v>45</v>
      </c>
      <c r="U58" s="42"/>
      <c r="V58" s="194" t="s">
        <v>177</v>
      </c>
      <c r="W58" s="30"/>
      <c r="X58" s="187">
        <v>6000</v>
      </c>
      <c r="Y58" s="187"/>
      <c r="Z58" s="244">
        <v>1842507</v>
      </c>
      <c r="AA58" s="238"/>
      <c r="AB58" s="30"/>
      <c r="AC58" s="30"/>
      <c r="AD58" s="31" t="s">
        <v>178</v>
      </c>
      <c r="AE58" s="27"/>
    </row>
    <row r="59" spans="1:31" s="231" customFormat="1" ht="36" customHeight="1" x14ac:dyDescent="0.2">
      <c r="A59" s="30"/>
      <c r="B59" s="326" t="s">
        <v>179</v>
      </c>
      <c r="C59" s="327"/>
      <c r="D59" s="327"/>
      <c r="E59" s="327"/>
      <c r="F59" s="327"/>
      <c r="G59" s="327"/>
      <c r="H59" s="327"/>
      <c r="I59" s="327"/>
      <c r="J59" s="327"/>
      <c r="K59" s="327"/>
      <c r="L59" s="327"/>
      <c r="M59" s="327"/>
      <c r="N59" s="327"/>
      <c r="O59" s="327"/>
      <c r="P59" s="327"/>
      <c r="Q59" s="327"/>
      <c r="R59" s="327"/>
      <c r="S59" s="327"/>
      <c r="T59" s="327"/>
      <c r="U59" s="327"/>
      <c r="V59" s="327"/>
      <c r="W59" s="327"/>
      <c r="X59" s="327"/>
      <c r="Y59" s="327"/>
      <c r="Z59" s="327"/>
      <c r="AA59" s="327"/>
      <c r="AB59" s="327"/>
      <c r="AC59" s="327"/>
      <c r="AD59" s="328"/>
      <c r="AE59" s="27"/>
    </row>
    <row r="60" spans="1:31" s="231" customFormat="1" ht="36" customHeight="1" x14ac:dyDescent="0.2">
      <c r="A60" s="30">
        <f>+A59+1</f>
        <v>1</v>
      </c>
      <c r="B60" s="39" t="s">
        <v>180</v>
      </c>
      <c r="C60" s="39" t="s">
        <v>181</v>
      </c>
      <c r="D60" s="39" t="s">
        <v>157</v>
      </c>
      <c r="E60" s="42"/>
      <c r="F60" s="43" t="s">
        <v>45</v>
      </c>
      <c r="G60" s="43" t="s">
        <v>45</v>
      </c>
      <c r="H60" s="43" t="s">
        <v>45</v>
      </c>
      <c r="I60" s="42"/>
      <c r="J60" s="43" t="s">
        <v>45</v>
      </c>
      <c r="K60" s="43" t="s">
        <v>45</v>
      </c>
      <c r="L60" s="43" t="s">
        <v>45</v>
      </c>
      <c r="M60" s="42"/>
      <c r="N60" s="43" t="s">
        <v>45</v>
      </c>
      <c r="O60" s="43" t="s">
        <v>45</v>
      </c>
      <c r="P60" s="43" t="s">
        <v>45</v>
      </c>
      <c r="Q60" s="42"/>
      <c r="R60" s="43" t="s">
        <v>45</v>
      </c>
      <c r="S60" s="43" t="s">
        <v>45</v>
      </c>
      <c r="T60" s="43" t="s">
        <v>45</v>
      </c>
      <c r="U60" s="42"/>
      <c r="V60" s="29" t="s">
        <v>182</v>
      </c>
      <c r="W60" s="30"/>
      <c r="X60" s="45">
        <v>5000</v>
      </c>
      <c r="Y60" s="45"/>
      <c r="Z60" s="238">
        <v>1219500</v>
      </c>
      <c r="AA60" s="238"/>
      <c r="AB60" s="30"/>
      <c r="AC60" s="30"/>
      <c r="AD60" s="31" t="s">
        <v>183</v>
      </c>
      <c r="AE60" s="27"/>
    </row>
    <row r="61" spans="1:31" s="231" customFormat="1" ht="130.5" customHeight="1" x14ac:dyDescent="0.2">
      <c r="A61" s="30">
        <f>+A60+1</f>
        <v>2</v>
      </c>
      <c r="B61" s="39" t="s">
        <v>184</v>
      </c>
      <c r="C61" s="39" t="s">
        <v>185</v>
      </c>
      <c r="D61" s="39" t="s">
        <v>157</v>
      </c>
      <c r="E61" s="42"/>
      <c r="F61" s="43" t="s">
        <v>45</v>
      </c>
      <c r="G61" s="43" t="s">
        <v>45</v>
      </c>
      <c r="H61" s="43" t="s">
        <v>45</v>
      </c>
      <c r="I61" s="42"/>
      <c r="J61" s="43" t="s">
        <v>45</v>
      </c>
      <c r="K61" s="43" t="s">
        <v>45</v>
      </c>
      <c r="L61" s="43" t="s">
        <v>45</v>
      </c>
      <c r="M61" s="42"/>
      <c r="N61" s="43" t="s">
        <v>45</v>
      </c>
      <c r="O61" s="43" t="s">
        <v>45</v>
      </c>
      <c r="P61" s="43" t="s">
        <v>45</v>
      </c>
      <c r="Q61" s="42"/>
      <c r="R61" s="43" t="s">
        <v>45</v>
      </c>
      <c r="S61" s="43" t="s">
        <v>45</v>
      </c>
      <c r="T61" s="43" t="s">
        <v>45</v>
      </c>
      <c r="U61" s="42"/>
      <c r="V61" s="31" t="s">
        <v>186</v>
      </c>
      <c r="W61" s="30"/>
      <c r="X61" s="45">
        <v>3600</v>
      </c>
      <c r="Y61" s="45"/>
      <c r="Z61" s="238">
        <v>88500</v>
      </c>
      <c r="AA61" s="238"/>
      <c r="AB61" s="30"/>
      <c r="AC61" s="30"/>
      <c r="AD61" s="31" t="s">
        <v>183</v>
      </c>
      <c r="AE61" s="27"/>
    </row>
    <row r="62" spans="1:31" ht="64.5" customHeight="1" x14ac:dyDescent="0.2">
      <c r="A62" s="30">
        <f>+A61+1</f>
        <v>3</v>
      </c>
      <c r="B62" s="39" t="s">
        <v>187</v>
      </c>
      <c r="C62" s="39" t="s">
        <v>188</v>
      </c>
      <c r="D62" s="39" t="s">
        <v>157</v>
      </c>
      <c r="E62" s="42"/>
      <c r="F62" s="43" t="s">
        <v>45</v>
      </c>
      <c r="G62" s="43" t="s">
        <v>45</v>
      </c>
      <c r="H62" s="43" t="s">
        <v>45</v>
      </c>
      <c r="I62" s="42"/>
      <c r="J62" s="43" t="s">
        <v>45</v>
      </c>
      <c r="K62" s="43" t="s">
        <v>45</v>
      </c>
      <c r="L62" s="43" t="s">
        <v>45</v>
      </c>
      <c r="M62" s="42"/>
      <c r="N62" s="43" t="s">
        <v>45</v>
      </c>
      <c r="O62" s="43" t="s">
        <v>45</v>
      </c>
      <c r="P62" s="43" t="s">
        <v>45</v>
      </c>
      <c r="Q62" s="42"/>
      <c r="R62" s="43" t="s">
        <v>45</v>
      </c>
      <c r="S62" s="43" t="s">
        <v>45</v>
      </c>
      <c r="T62" s="43" t="s">
        <v>45</v>
      </c>
      <c r="U62" s="42"/>
      <c r="V62" s="29" t="s">
        <v>189</v>
      </c>
      <c r="W62" s="30"/>
      <c r="X62" s="45">
        <v>2000</v>
      </c>
      <c r="Y62" s="45"/>
      <c r="Z62" s="238">
        <v>1494900</v>
      </c>
      <c r="AA62" s="238"/>
      <c r="AB62" s="30"/>
      <c r="AC62" s="30"/>
      <c r="AD62" s="31" t="s">
        <v>183</v>
      </c>
    </row>
    <row r="63" spans="1:31" ht="49.5" customHeight="1" x14ac:dyDescent="0.2">
      <c r="A63" s="30">
        <f>+A62+1</f>
        <v>4</v>
      </c>
      <c r="B63" s="39" t="s">
        <v>190</v>
      </c>
      <c r="C63" s="39" t="s">
        <v>191</v>
      </c>
      <c r="D63" s="39" t="s">
        <v>157</v>
      </c>
      <c r="E63" s="42"/>
      <c r="F63" s="43" t="s">
        <v>45</v>
      </c>
      <c r="G63" s="43" t="s">
        <v>45</v>
      </c>
      <c r="H63" s="43" t="s">
        <v>45</v>
      </c>
      <c r="I63" s="42"/>
      <c r="J63" s="43" t="s">
        <v>45</v>
      </c>
      <c r="K63" s="43" t="s">
        <v>45</v>
      </c>
      <c r="L63" s="43" t="s">
        <v>45</v>
      </c>
      <c r="M63" s="42"/>
      <c r="N63" s="43" t="s">
        <v>45</v>
      </c>
      <c r="O63" s="43" t="s">
        <v>45</v>
      </c>
      <c r="P63" s="43" t="s">
        <v>45</v>
      </c>
      <c r="Q63" s="42"/>
      <c r="R63" s="43" t="s">
        <v>45</v>
      </c>
      <c r="S63" s="43" t="s">
        <v>45</v>
      </c>
      <c r="T63" s="43" t="s">
        <v>45</v>
      </c>
      <c r="U63" s="42"/>
      <c r="V63" s="31" t="s">
        <v>192</v>
      </c>
      <c r="W63" s="30"/>
      <c r="X63" s="45">
        <v>500</v>
      </c>
      <c r="Y63" s="45"/>
      <c r="Z63" s="238"/>
      <c r="AA63" s="238"/>
      <c r="AB63" s="30"/>
      <c r="AC63" s="30"/>
      <c r="AD63" s="31" t="s">
        <v>183</v>
      </c>
    </row>
    <row r="64" spans="1:31" ht="49.5" customHeight="1" x14ac:dyDescent="0.2">
      <c r="A64" s="30">
        <f>+A63+1</f>
        <v>5</v>
      </c>
      <c r="B64" s="39" t="s">
        <v>193</v>
      </c>
      <c r="C64" s="39" t="s">
        <v>194</v>
      </c>
      <c r="D64" s="39"/>
      <c r="E64" s="42"/>
      <c r="F64" s="43" t="s">
        <v>45</v>
      </c>
      <c r="G64" s="43" t="s">
        <v>45</v>
      </c>
      <c r="H64" s="43" t="s">
        <v>45</v>
      </c>
      <c r="I64" s="42"/>
      <c r="J64" s="43" t="s">
        <v>45</v>
      </c>
      <c r="K64" s="43" t="s">
        <v>45</v>
      </c>
      <c r="L64" s="43" t="s">
        <v>45</v>
      </c>
      <c r="M64" s="42"/>
      <c r="N64" s="43" t="s">
        <v>45</v>
      </c>
      <c r="O64" s="43" t="s">
        <v>45</v>
      </c>
      <c r="P64" s="43" t="s">
        <v>45</v>
      </c>
      <c r="Q64" s="42"/>
      <c r="R64" s="43" t="s">
        <v>45</v>
      </c>
      <c r="S64" s="43" t="s">
        <v>45</v>
      </c>
      <c r="T64" s="43" t="s">
        <v>45</v>
      </c>
      <c r="U64" s="42"/>
      <c r="V64" s="31" t="s">
        <v>195</v>
      </c>
      <c r="W64" s="30"/>
      <c r="X64" s="45">
        <v>128695</v>
      </c>
      <c r="Y64" s="45"/>
      <c r="Z64" s="238">
        <v>66495496</v>
      </c>
      <c r="AA64" s="238"/>
      <c r="AB64" s="30"/>
      <c r="AC64" s="30"/>
      <c r="AD64" s="31" t="s">
        <v>183</v>
      </c>
    </row>
    <row r="65" spans="1:30" ht="13.5" x14ac:dyDescent="0.2">
      <c r="A65" s="30"/>
      <c r="B65" s="326" t="s">
        <v>196</v>
      </c>
      <c r="C65" s="327"/>
      <c r="D65" s="327"/>
      <c r="E65" s="327"/>
      <c r="F65" s="327"/>
      <c r="G65" s="327"/>
      <c r="H65" s="327"/>
      <c r="I65" s="327"/>
      <c r="J65" s="327"/>
      <c r="K65" s="327"/>
      <c r="L65" s="327"/>
      <c r="M65" s="327"/>
      <c r="N65" s="327"/>
      <c r="O65" s="327"/>
      <c r="P65" s="327"/>
      <c r="Q65" s="327"/>
      <c r="R65" s="327"/>
      <c r="S65" s="327"/>
      <c r="T65" s="327"/>
      <c r="U65" s="327"/>
      <c r="V65" s="327"/>
      <c r="W65" s="327"/>
      <c r="X65" s="327"/>
      <c r="Y65" s="327"/>
      <c r="Z65" s="327"/>
      <c r="AA65" s="327"/>
      <c r="AB65" s="327"/>
      <c r="AC65" s="327"/>
      <c r="AD65" s="328"/>
    </row>
    <row r="66" spans="1:30" ht="57" customHeight="1" x14ac:dyDescent="0.2">
      <c r="A66" s="30">
        <v>1</v>
      </c>
      <c r="B66" s="39" t="s">
        <v>197</v>
      </c>
      <c r="C66" s="39" t="s">
        <v>198</v>
      </c>
      <c r="D66" s="39" t="s">
        <v>157</v>
      </c>
      <c r="E66" s="42"/>
      <c r="F66" s="43" t="s">
        <v>45</v>
      </c>
      <c r="G66" s="43" t="s">
        <v>45</v>
      </c>
      <c r="H66" s="43" t="s">
        <v>45</v>
      </c>
      <c r="I66" s="42"/>
      <c r="J66" s="43" t="s">
        <v>45</v>
      </c>
      <c r="K66" s="43" t="s">
        <v>45</v>
      </c>
      <c r="L66" s="43" t="s">
        <v>45</v>
      </c>
      <c r="M66" s="42"/>
      <c r="N66" s="43" t="s">
        <v>45</v>
      </c>
      <c r="O66" s="43" t="s">
        <v>45</v>
      </c>
      <c r="P66" s="43" t="s">
        <v>45</v>
      </c>
      <c r="Q66" s="42"/>
      <c r="R66" s="43" t="s">
        <v>45</v>
      </c>
      <c r="S66" s="43" t="s">
        <v>45</v>
      </c>
      <c r="T66" s="43" t="s">
        <v>45</v>
      </c>
      <c r="U66" s="42"/>
      <c r="V66" s="39" t="s">
        <v>199</v>
      </c>
      <c r="W66" s="47"/>
      <c r="X66" s="45">
        <v>2400</v>
      </c>
      <c r="Y66" s="45"/>
      <c r="Z66" s="244">
        <v>1006150</v>
      </c>
      <c r="AA66" s="238"/>
      <c r="AB66" s="47"/>
      <c r="AC66" s="47"/>
      <c r="AD66" s="31" t="s">
        <v>183</v>
      </c>
    </row>
    <row r="67" spans="1:30" ht="69" customHeight="1" x14ac:dyDescent="0.2">
      <c r="A67" s="30">
        <f>+A66+1</f>
        <v>2</v>
      </c>
      <c r="B67" s="39" t="s">
        <v>200</v>
      </c>
      <c r="C67" s="39" t="s">
        <v>201</v>
      </c>
      <c r="D67" s="39" t="s">
        <v>157</v>
      </c>
      <c r="E67" s="42"/>
      <c r="F67" s="43" t="s">
        <v>45</v>
      </c>
      <c r="G67" s="43" t="s">
        <v>45</v>
      </c>
      <c r="H67" s="43" t="s">
        <v>45</v>
      </c>
      <c r="I67" s="42"/>
      <c r="J67" s="43" t="s">
        <v>45</v>
      </c>
      <c r="K67" s="43" t="s">
        <v>45</v>
      </c>
      <c r="L67" s="43" t="s">
        <v>45</v>
      </c>
      <c r="M67" s="42"/>
      <c r="N67" s="43" t="s">
        <v>45</v>
      </c>
      <c r="O67" s="43" t="s">
        <v>45</v>
      </c>
      <c r="P67" s="43" t="s">
        <v>45</v>
      </c>
      <c r="Q67" s="42"/>
      <c r="R67" s="43" t="s">
        <v>45</v>
      </c>
      <c r="S67" s="43" t="s">
        <v>45</v>
      </c>
      <c r="T67" s="43" t="s">
        <v>45</v>
      </c>
      <c r="U67" s="42"/>
      <c r="V67" s="39" t="s">
        <v>202</v>
      </c>
      <c r="W67" s="47"/>
      <c r="X67" s="45">
        <v>3600</v>
      </c>
      <c r="Y67" s="45"/>
      <c r="Z67" s="244"/>
      <c r="AA67" s="238"/>
      <c r="AB67" s="47"/>
      <c r="AC67" s="47"/>
      <c r="AD67" s="31" t="s">
        <v>183</v>
      </c>
    </row>
    <row r="68" spans="1:30" ht="64.5" customHeight="1" x14ac:dyDescent="0.2">
      <c r="A68" s="30">
        <f t="shared" ref="A68:A79" si="1">+A67+1</f>
        <v>3</v>
      </c>
      <c r="B68" s="39" t="s">
        <v>203</v>
      </c>
      <c r="C68" s="39" t="s">
        <v>204</v>
      </c>
      <c r="D68" s="39" t="s">
        <v>157</v>
      </c>
      <c r="E68" s="42"/>
      <c r="F68" s="43" t="s">
        <v>45</v>
      </c>
      <c r="G68" s="43" t="s">
        <v>45</v>
      </c>
      <c r="H68" s="43" t="s">
        <v>45</v>
      </c>
      <c r="I68" s="42"/>
      <c r="J68" s="43" t="s">
        <v>45</v>
      </c>
      <c r="K68" s="43" t="s">
        <v>45</v>
      </c>
      <c r="L68" s="43" t="s">
        <v>45</v>
      </c>
      <c r="M68" s="42"/>
      <c r="N68" s="43" t="s">
        <v>45</v>
      </c>
      <c r="O68" s="43" t="s">
        <v>45</v>
      </c>
      <c r="P68" s="43" t="s">
        <v>45</v>
      </c>
      <c r="Q68" s="42"/>
      <c r="R68" s="43" t="s">
        <v>45</v>
      </c>
      <c r="S68" s="43" t="s">
        <v>45</v>
      </c>
      <c r="T68" s="43" t="s">
        <v>45</v>
      </c>
      <c r="U68" s="42"/>
      <c r="V68" s="39" t="s">
        <v>205</v>
      </c>
      <c r="W68" s="47"/>
      <c r="X68" s="45">
        <v>3600</v>
      </c>
      <c r="Y68" s="45"/>
      <c r="Z68" s="244">
        <v>209425</v>
      </c>
      <c r="AA68" s="238"/>
      <c r="AB68" s="47"/>
      <c r="AC68" s="47"/>
      <c r="AD68" s="31" t="s">
        <v>183</v>
      </c>
    </row>
    <row r="69" spans="1:30" ht="48" customHeight="1" x14ac:dyDescent="0.2">
      <c r="A69" s="30">
        <f t="shared" si="1"/>
        <v>4</v>
      </c>
      <c r="B69" s="39" t="s">
        <v>206</v>
      </c>
      <c r="C69" s="39" t="s">
        <v>207</v>
      </c>
      <c r="D69" s="39" t="s">
        <v>157</v>
      </c>
      <c r="E69" s="42"/>
      <c r="F69" s="43" t="s">
        <v>45</v>
      </c>
      <c r="G69" s="43" t="s">
        <v>45</v>
      </c>
      <c r="H69" s="43" t="s">
        <v>45</v>
      </c>
      <c r="I69" s="42"/>
      <c r="J69" s="43" t="s">
        <v>45</v>
      </c>
      <c r="K69" s="43" t="s">
        <v>45</v>
      </c>
      <c r="L69" s="43" t="s">
        <v>45</v>
      </c>
      <c r="M69" s="42"/>
      <c r="N69" s="43" t="s">
        <v>45</v>
      </c>
      <c r="O69" s="43" t="s">
        <v>45</v>
      </c>
      <c r="P69" s="43" t="s">
        <v>45</v>
      </c>
      <c r="Q69" s="42"/>
      <c r="R69" s="43" t="s">
        <v>45</v>
      </c>
      <c r="S69" s="43" t="s">
        <v>45</v>
      </c>
      <c r="T69" s="43" t="s">
        <v>45</v>
      </c>
      <c r="U69" s="42"/>
      <c r="V69" s="39" t="s">
        <v>208</v>
      </c>
      <c r="W69" s="47"/>
      <c r="X69" s="45">
        <v>2400</v>
      </c>
      <c r="Y69" s="45"/>
      <c r="Z69" s="244">
        <v>901000</v>
      </c>
      <c r="AA69" s="238"/>
      <c r="AB69" s="47"/>
      <c r="AC69" s="47"/>
      <c r="AD69" s="31" t="s">
        <v>183</v>
      </c>
    </row>
    <row r="70" spans="1:30" ht="37.5" customHeight="1" x14ac:dyDescent="0.2">
      <c r="A70" s="30">
        <f t="shared" si="1"/>
        <v>5</v>
      </c>
      <c r="B70" s="39" t="s">
        <v>209</v>
      </c>
      <c r="C70" s="39" t="s">
        <v>210</v>
      </c>
      <c r="D70" s="39" t="s">
        <v>157</v>
      </c>
      <c r="E70" s="42"/>
      <c r="F70" s="43" t="s">
        <v>45</v>
      </c>
      <c r="G70" s="43" t="s">
        <v>45</v>
      </c>
      <c r="H70" s="43" t="s">
        <v>45</v>
      </c>
      <c r="I70" s="42"/>
      <c r="J70" s="43" t="s">
        <v>45</v>
      </c>
      <c r="K70" s="43" t="s">
        <v>45</v>
      </c>
      <c r="L70" s="43" t="s">
        <v>45</v>
      </c>
      <c r="M70" s="42"/>
      <c r="N70" s="43" t="s">
        <v>45</v>
      </c>
      <c r="O70" s="43" t="s">
        <v>45</v>
      </c>
      <c r="P70" s="43" t="s">
        <v>45</v>
      </c>
      <c r="Q70" s="42"/>
      <c r="R70" s="43" t="s">
        <v>45</v>
      </c>
      <c r="S70" s="43" t="s">
        <v>45</v>
      </c>
      <c r="T70" s="43" t="s">
        <v>45</v>
      </c>
      <c r="U70" s="42"/>
      <c r="V70" s="39" t="s">
        <v>211</v>
      </c>
      <c r="W70" s="47"/>
      <c r="X70" s="45">
        <v>2400</v>
      </c>
      <c r="Y70" s="45"/>
      <c r="Z70" s="244"/>
      <c r="AA70" s="238"/>
      <c r="AB70" s="47"/>
      <c r="AC70" s="47"/>
      <c r="AD70" s="31" t="s">
        <v>183</v>
      </c>
    </row>
    <row r="71" spans="1:30" ht="37.5" customHeight="1" x14ac:dyDescent="0.2">
      <c r="A71" s="30">
        <f t="shared" si="1"/>
        <v>6</v>
      </c>
      <c r="B71" s="39" t="s">
        <v>212</v>
      </c>
      <c r="C71" s="39" t="s">
        <v>213</v>
      </c>
      <c r="D71" s="39"/>
      <c r="E71" s="42"/>
      <c r="F71" s="43" t="s">
        <v>45</v>
      </c>
      <c r="G71" s="43" t="s">
        <v>45</v>
      </c>
      <c r="H71" s="43" t="s">
        <v>45</v>
      </c>
      <c r="I71" s="42"/>
      <c r="J71" s="43" t="s">
        <v>45</v>
      </c>
      <c r="K71" s="43" t="s">
        <v>45</v>
      </c>
      <c r="L71" s="43" t="s">
        <v>45</v>
      </c>
      <c r="M71" s="42"/>
      <c r="N71" s="43" t="s">
        <v>45</v>
      </c>
      <c r="O71" s="43" t="s">
        <v>45</v>
      </c>
      <c r="P71" s="43" t="s">
        <v>45</v>
      </c>
      <c r="Q71" s="42"/>
      <c r="R71" s="43" t="s">
        <v>45</v>
      </c>
      <c r="S71" s="43" t="s">
        <v>45</v>
      </c>
      <c r="T71" s="43" t="s">
        <v>45</v>
      </c>
      <c r="U71" s="42"/>
      <c r="V71" s="214" t="s">
        <v>214</v>
      </c>
      <c r="W71" s="47"/>
      <c r="X71" s="45">
        <v>3600</v>
      </c>
      <c r="Y71" s="45"/>
      <c r="Z71" s="244"/>
      <c r="AA71" s="238"/>
      <c r="AB71" s="47"/>
      <c r="AC71" s="47"/>
      <c r="AD71" s="31" t="s">
        <v>183</v>
      </c>
    </row>
    <row r="72" spans="1:30" ht="37.5" customHeight="1" x14ac:dyDescent="0.2">
      <c r="A72" s="30">
        <f t="shared" si="1"/>
        <v>7</v>
      </c>
      <c r="B72" s="39" t="s">
        <v>215</v>
      </c>
      <c r="C72" s="39" t="s">
        <v>216</v>
      </c>
      <c r="D72" s="39"/>
      <c r="E72" s="42"/>
      <c r="F72" s="43" t="s">
        <v>45</v>
      </c>
      <c r="G72" s="43" t="s">
        <v>45</v>
      </c>
      <c r="H72" s="43" t="s">
        <v>45</v>
      </c>
      <c r="I72" s="42"/>
      <c r="J72" s="43" t="s">
        <v>45</v>
      </c>
      <c r="K72" s="43" t="s">
        <v>45</v>
      </c>
      <c r="L72" s="43" t="s">
        <v>45</v>
      </c>
      <c r="M72" s="42"/>
      <c r="N72" s="43" t="s">
        <v>45</v>
      </c>
      <c r="O72" s="43" t="s">
        <v>45</v>
      </c>
      <c r="P72" s="43" t="s">
        <v>45</v>
      </c>
      <c r="Q72" s="42"/>
      <c r="R72" s="43" t="s">
        <v>45</v>
      </c>
      <c r="S72" s="43" t="s">
        <v>45</v>
      </c>
      <c r="T72" s="43" t="s">
        <v>45</v>
      </c>
      <c r="U72" s="42"/>
      <c r="V72" s="39" t="s">
        <v>217</v>
      </c>
      <c r="W72" s="47"/>
      <c r="X72" s="45">
        <v>2000</v>
      </c>
      <c r="Y72" s="45"/>
      <c r="Z72" s="244">
        <v>2586225</v>
      </c>
      <c r="AA72" s="238"/>
      <c r="AB72" s="47"/>
      <c r="AC72" s="47"/>
      <c r="AD72" s="31" t="s">
        <v>183</v>
      </c>
    </row>
    <row r="73" spans="1:30" ht="13.5" x14ac:dyDescent="0.2">
      <c r="A73" s="30"/>
      <c r="B73" s="326" t="s">
        <v>218</v>
      </c>
      <c r="C73" s="327"/>
      <c r="D73" s="327"/>
      <c r="E73" s="327"/>
      <c r="F73" s="327"/>
      <c r="G73" s="327"/>
      <c r="H73" s="327"/>
      <c r="I73" s="327"/>
      <c r="J73" s="327"/>
      <c r="K73" s="327"/>
      <c r="L73" s="327"/>
      <c r="M73" s="327"/>
      <c r="N73" s="327"/>
      <c r="O73" s="327"/>
      <c r="P73" s="327"/>
      <c r="Q73" s="327"/>
      <c r="R73" s="327"/>
      <c r="S73" s="327"/>
      <c r="T73" s="327"/>
      <c r="U73" s="327"/>
      <c r="V73" s="327"/>
      <c r="W73" s="327"/>
      <c r="X73" s="327"/>
      <c r="Y73" s="327"/>
      <c r="Z73" s="327"/>
      <c r="AA73" s="327"/>
      <c r="AB73" s="327"/>
      <c r="AC73" s="327"/>
      <c r="AD73" s="328"/>
    </row>
    <row r="74" spans="1:30" ht="63.75" x14ac:dyDescent="0.2">
      <c r="A74" s="30">
        <f t="shared" si="1"/>
        <v>1</v>
      </c>
      <c r="B74" s="39" t="s">
        <v>219</v>
      </c>
      <c r="C74" s="39" t="s">
        <v>220</v>
      </c>
      <c r="D74" s="47"/>
      <c r="E74" s="42"/>
      <c r="F74" s="43" t="s">
        <v>45</v>
      </c>
      <c r="G74" s="43" t="s">
        <v>45</v>
      </c>
      <c r="H74" s="43" t="s">
        <v>45</v>
      </c>
      <c r="I74" s="42"/>
      <c r="J74" s="43" t="s">
        <v>45</v>
      </c>
      <c r="K74" s="43" t="s">
        <v>45</v>
      </c>
      <c r="L74" s="43" t="s">
        <v>45</v>
      </c>
      <c r="M74" s="42"/>
      <c r="N74" s="43" t="s">
        <v>45</v>
      </c>
      <c r="O74" s="43" t="s">
        <v>45</v>
      </c>
      <c r="P74" s="43" t="s">
        <v>45</v>
      </c>
      <c r="Q74" s="42"/>
      <c r="R74" s="43" t="s">
        <v>45</v>
      </c>
      <c r="S74" s="43" t="s">
        <v>45</v>
      </c>
      <c r="T74" s="43" t="s">
        <v>45</v>
      </c>
      <c r="U74" s="42"/>
      <c r="V74" s="39" t="s">
        <v>221</v>
      </c>
      <c r="W74" s="47"/>
      <c r="X74" s="45">
        <v>162499</v>
      </c>
      <c r="Y74" s="45"/>
      <c r="Z74" s="244">
        <v>46852097</v>
      </c>
      <c r="AA74" s="238"/>
      <c r="AB74" s="47"/>
      <c r="AC74" s="47"/>
      <c r="AD74" s="31" t="s">
        <v>178</v>
      </c>
    </row>
    <row r="75" spans="1:30" ht="63.75" x14ac:dyDescent="0.2">
      <c r="A75" s="30">
        <f t="shared" si="1"/>
        <v>2</v>
      </c>
      <c r="B75" s="39" t="s">
        <v>222</v>
      </c>
      <c r="C75" s="39" t="s">
        <v>223</v>
      </c>
      <c r="D75" s="47"/>
      <c r="E75" s="42"/>
      <c r="F75" s="43" t="s">
        <v>45</v>
      </c>
      <c r="G75" s="43" t="s">
        <v>45</v>
      </c>
      <c r="H75" s="43" t="s">
        <v>45</v>
      </c>
      <c r="I75" s="42"/>
      <c r="J75" s="43" t="s">
        <v>45</v>
      </c>
      <c r="K75" s="43" t="s">
        <v>45</v>
      </c>
      <c r="L75" s="43" t="s">
        <v>45</v>
      </c>
      <c r="M75" s="42"/>
      <c r="N75" s="43" t="s">
        <v>45</v>
      </c>
      <c r="O75" s="43" t="s">
        <v>45</v>
      </c>
      <c r="P75" s="43" t="s">
        <v>45</v>
      </c>
      <c r="Q75" s="42"/>
      <c r="R75" s="43" t="s">
        <v>45</v>
      </c>
      <c r="S75" s="43" t="s">
        <v>45</v>
      </c>
      <c r="T75" s="43" t="s">
        <v>45</v>
      </c>
      <c r="U75" s="42"/>
      <c r="V75" s="39" t="s">
        <v>224</v>
      </c>
      <c r="W75" s="47"/>
      <c r="X75" s="45">
        <v>26337</v>
      </c>
      <c r="Y75" s="45"/>
      <c r="Z75" s="244">
        <v>14314537</v>
      </c>
      <c r="AA75" s="238"/>
      <c r="AB75" s="47"/>
      <c r="AC75" s="47"/>
      <c r="AD75" s="31" t="s">
        <v>178</v>
      </c>
    </row>
    <row r="76" spans="1:30" ht="63.75" x14ac:dyDescent="0.2">
      <c r="A76" s="30">
        <f t="shared" si="1"/>
        <v>3</v>
      </c>
      <c r="B76" s="39" t="s">
        <v>225</v>
      </c>
      <c r="C76" s="39" t="s">
        <v>226</v>
      </c>
      <c r="D76" s="47"/>
      <c r="E76" s="42"/>
      <c r="F76" s="43" t="s">
        <v>45</v>
      </c>
      <c r="G76" s="43" t="s">
        <v>45</v>
      </c>
      <c r="H76" s="43" t="s">
        <v>45</v>
      </c>
      <c r="I76" s="42"/>
      <c r="J76" s="43" t="s">
        <v>45</v>
      </c>
      <c r="K76" s="43" t="s">
        <v>45</v>
      </c>
      <c r="L76" s="43" t="s">
        <v>45</v>
      </c>
      <c r="M76" s="42"/>
      <c r="N76" s="43" t="s">
        <v>45</v>
      </c>
      <c r="O76" s="43" t="s">
        <v>45</v>
      </c>
      <c r="P76" s="43" t="s">
        <v>45</v>
      </c>
      <c r="Q76" s="42"/>
      <c r="R76" s="43" t="s">
        <v>45</v>
      </c>
      <c r="S76" s="43" t="s">
        <v>45</v>
      </c>
      <c r="T76" s="43" t="s">
        <v>45</v>
      </c>
      <c r="U76" s="42"/>
      <c r="V76" s="39" t="s">
        <v>227</v>
      </c>
      <c r="W76" s="47"/>
      <c r="X76" s="45">
        <v>20574</v>
      </c>
      <c r="Y76" s="45"/>
      <c r="Z76" s="244">
        <v>3604860</v>
      </c>
      <c r="AA76" s="238"/>
      <c r="AB76" s="47"/>
      <c r="AC76" s="47"/>
      <c r="AD76" s="31" t="s">
        <v>178</v>
      </c>
    </row>
    <row r="77" spans="1:30" ht="38.25" x14ac:dyDescent="0.2">
      <c r="A77" s="30">
        <f t="shared" si="1"/>
        <v>4</v>
      </c>
      <c r="B77" s="39" t="s">
        <v>228</v>
      </c>
      <c r="C77" s="39" t="s">
        <v>229</v>
      </c>
      <c r="D77" s="47"/>
      <c r="E77" s="42"/>
      <c r="F77" s="43"/>
      <c r="G77" s="43"/>
      <c r="H77" s="43" t="s">
        <v>45</v>
      </c>
      <c r="I77" s="42"/>
      <c r="J77" s="43" t="s">
        <v>45</v>
      </c>
      <c r="K77" s="43"/>
      <c r="L77" s="43"/>
      <c r="M77" s="42"/>
      <c r="N77" s="43"/>
      <c r="O77" s="43"/>
      <c r="P77" s="43"/>
      <c r="Q77" s="42"/>
      <c r="R77" s="43"/>
      <c r="S77" s="43"/>
      <c r="T77" s="43"/>
      <c r="U77" s="42"/>
      <c r="V77" s="39" t="s">
        <v>230</v>
      </c>
      <c r="W77" s="47"/>
      <c r="X77" s="45">
        <v>200</v>
      </c>
      <c r="Y77" s="45"/>
      <c r="Z77" s="244">
        <v>128250</v>
      </c>
      <c r="AA77" s="238"/>
      <c r="AB77" s="47"/>
      <c r="AC77" s="47"/>
      <c r="AD77" s="31" t="s">
        <v>178</v>
      </c>
    </row>
    <row r="78" spans="1:30" ht="76.5" x14ac:dyDescent="0.2">
      <c r="A78" s="30">
        <f t="shared" si="1"/>
        <v>5</v>
      </c>
      <c r="B78" s="39" t="s">
        <v>231</v>
      </c>
      <c r="C78" s="39" t="s">
        <v>232</v>
      </c>
      <c r="D78" s="47"/>
      <c r="E78" s="42"/>
      <c r="F78" s="43" t="s">
        <v>45</v>
      </c>
      <c r="G78" s="43" t="s">
        <v>45</v>
      </c>
      <c r="H78" s="43" t="s">
        <v>45</v>
      </c>
      <c r="I78" s="42"/>
      <c r="J78" s="43" t="s">
        <v>45</v>
      </c>
      <c r="K78" s="43" t="s">
        <v>45</v>
      </c>
      <c r="L78" s="43" t="s">
        <v>45</v>
      </c>
      <c r="M78" s="42"/>
      <c r="N78" s="43" t="s">
        <v>45</v>
      </c>
      <c r="O78" s="43" t="s">
        <v>45</v>
      </c>
      <c r="P78" s="43" t="s">
        <v>45</v>
      </c>
      <c r="Q78" s="42"/>
      <c r="R78" s="43" t="s">
        <v>45</v>
      </c>
      <c r="S78" s="43" t="s">
        <v>45</v>
      </c>
      <c r="T78" s="43" t="s">
        <v>45</v>
      </c>
      <c r="U78" s="42"/>
      <c r="V78" s="39" t="s">
        <v>233</v>
      </c>
      <c r="W78" s="47"/>
      <c r="X78" s="45">
        <v>68000</v>
      </c>
      <c r="Y78" s="45"/>
      <c r="Z78" s="244">
        <v>22121524</v>
      </c>
      <c r="AA78" s="238"/>
      <c r="AB78" s="47"/>
      <c r="AC78" s="47"/>
      <c r="AD78" s="31" t="s">
        <v>178</v>
      </c>
    </row>
    <row r="79" spans="1:30" ht="38.25" x14ac:dyDescent="0.2">
      <c r="A79" s="30">
        <f t="shared" si="1"/>
        <v>6</v>
      </c>
      <c r="B79" s="219" t="s">
        <v>234</v>
      </c>
      <c r="C79" s="210" t="s">
        <v>235</v>
      </c>
      <c r="D79" s="47"/>
      <c r="E79" s="42"/>
      <c r="F79" s="43"/>
      <c r="G79" s="43"/>
      <c r="H79" s="43"/>
      <c r="I79" s="42"/>
      <c r="J79" s="43"/>
      <c r="K79" s="43"/>
      <c r="L79" s="43" t="s">
        <v>236</v>
      </c>
      <c r="M79" s="42"/>
      <c r="N79" s="43"/>
      <c r="O79" s="43"/>
      <c r="P79" s="43"/>
      <c r="Q79" s="42"/>
      <c r="R79" s="43"/>
      <c r="S79" s="43"/>
      <c r="T79" s="43"/>
      <c r="U79" s="42"/>
      <c r="V79" s="39" t="s">
        <v>237</v>
      </c>
      <c r="W79" s="47"/>
      <c r="X79" s="45">
        <v>12000</v>
      </c>
      <c r="Y79" s="45"/>
      <c r="Z79" s="244"/>
      <c r="AA79" s="238"/>
      <c r="AB79" s="47"/>
      <c r="AC79" s="47"/>
      <c r="AD79" s="31"/>
    </row>
    <row r="80" spans="1:30" x14ac:dyDescent="0.2">
      <c r="A80" s="30"/>
      <c r="B80" s="329" t="s">
        <v>238</v>
      </c>
      <c r="C80" s="330"/>
      <c r="D80" s="330"/>
      <c r="E80" s="330"/>
      <c r="F80" s="330"/>
      <c r="G80" s="330"/>
      <c r="H80" s="330"/>
      <c r="I80" s="330"/>
      <c r="J80" s="330"/>
      <c r="K80" s="330"/>
      <c r="L80" s="330"/>
      <c r="M80" s="330"/>
      <c r="N80" s="330"/>
      <c r="O80" s="330"/>
      <c r="P80" s="330"/>
      <c r="Q80" s="330"/>
      <c r="R80" s="330"/>
      <c r="S80" s="330"/>
      <c r="T80" s="330"/>
      <c r="U80" s="330"/>
      <c r="V80" s="330"/>
      <c r="W80" s="330"/>
      <c r="X80" s="330"/>
      <c r="Y80" s="330"/>
      <c r="Z80" s="330"/>
      <c r="AA80" s="330"/>
      <c r="AB80" s="330"/>
      <c r="AC80" s="330"/>
      <c r="AD80" s="331"/>
    </row>
    <row r="81" spans="1:31" s="232" customFormat="1" ht="13.5" x14ac:dyDescent="0.2">
      <c r="A81" s="30"/>
      <c r="B81" s="326" t="s">
        <v>239</v>
      </c>
      <c r="C81" s="327"/>
      <c r="D81" s="327"/>
      <c r="E81" s="327"/>
      <c r="F81" s="327"/>
      <c r="G81" s="327"/>
      <c r="H81" s="327"/>
      <c r="I81" s="327"/>
      <c r="J81" s="327"/>
      <c r="K81" s="327"/>
      <c r="L81" s="327"/>
      <c r="M81" s="327"/>
      <c r="N81" s="327"/>
      <c r="O81" s="327"/>
      <c r="P81" s="327"/>
      <c r="Q81" s="327"/>
      <c r="R81" s="327"/>
      <c r="S81" s="327"/>
      <c r="T81" s="327"/>
      <c r="U81" s="327"/>
      <c r="V81" s="327"/>
      <c r="W81" s="327"/>
      <c r="X81" s="327"/>
      <c r="Y81" s="327"/>
      <c r="Z81" s="327"/>
      <c r="AA81" s="327"/>
      <c r="AB81" s="327"/>
      <c r="AC81" s="327"/>
      <c r="AD81" s="328"/>
      <c r="AE81" s="27"/>
    </row>
    <row r="82" spans="1:31" ht="63.75" x14ac:dyDescent="0.2">
      <c r="A82" s="30">
        <f>+A81+1</f>
        <v>1</v>
      </c>
      <c r="B82" s="39" t="s">
        <v>240</v>
      </c>
      <c r="C82" s="41" t="s">
        <v>521</v>
      </c>
      <c r="D82" s="30"/>
      <c r="E82" s="42"/>
      <c r="F82" s="43"/>
      <c r="G82" s="43"/>
      <c r="H82" s="43"/>
      <c r="I82" s="42"/>
      <c r="J82" s="43"/>
      <c r="K82" s="43"/>
      <c r="L82" s="43"/>
      <c r="M82" s="42"/>
      <c r="N82" s="43"/>
      <c r="O82" s="43"/>
      <c r="P82" s="43"/>
      <c r="Q82" s="42"/>
      <c r="R82" s="43" t="s">
        <v>45</v>
      </c>
      <c r="S82" s="43" t="s">
        <v>45</v>
      </c>
      <c r="T82" s="43" t="s">
        <v>45</v>
      </c>
      <c r="U82" s="42"/>
      <c r="V82" s="39" t="s">
        <v>242</v>
      </c>
      <c r="W82" s="30"/>
      <c r="X82" s="46">
        <v>60000</v>
      </c>
      <c r="Y82" s="46"/>
      <c r="Z82" s="245"/>
      <c r="AA82" s="31"/>
      <c r="AB82" s="30"/>
      <c r="AC82" s="30"/>
      <c r="AD82" s="31" t="s">
        <v>178</v>
      </c>
    </row>
    <row r="83" spans="1:31" ht="140.25" x14ac:dyDescent="0.2">
      <c r="A83" s="30">
        <f>+A82+1</f>
        <v>2</v>
      </c>
      <c r="B83" s="39" t="s">
        <v>519</v>
      </c>
      <c r="C83" s="39" t="s">
        <v>518</v>
      </c>
      <c r="D83" s="30"/>
      <c r="E83" s="42"/>
      <c r="F83" s="43" t="s">
        <v>45</v>
      </c>
      <c r="G83" s="43" t="s">
        <v>45</v>
      </c>
      <c r="H83" s="43" t="s">
        <v>45</v>
      </c>
      <c r="I83" s="42"/>
      <c r="J83" s="43"/>
      <c r="K83" s="43"/>
      <c r="L83" s="43"/>
      <c r="M83" s="42"/>
      <c r="N83" s="43"/>
      <c r="O83" s="43"/>
      <c r="P83" s="43"/>
      <c r="Q83" s="42"/>
      <c r="R83" s="43"/>
      <c r="S83" s="43"/>
      <c r="T83" s="43"/>
      <c r="U83" s="42"/>
      <c r="V83" s="39" t="s">
        <v>520</v>
      </c>
      <c r="W83" s="30"/>
      <c r="X83" s="46">
        <v>22000</v>
      </c>
      <c r="Y83" s="46"/>
      <c r="Z83" s="245"/>
      <c r="AA83" s="238"/>
      <c r="AB83" s="30"/>
      <c r="AC83" s="30"/>
      <c r="AD83" s="31" t="s">
        <v>178</v>
      </c>
    </row>
    <row r="84" spans="1:31" ht="114.75" x14ac:dyDescent="0.2">
      <c r="A84" s="30">
        <f>+A83+1</f>
        <v>3</v>
      </c>
      <c r="B84" s="31" t="s">
        <v>243</v>
      </c>
      <c r="C84" s="31" t="s">
        <v>244</v>
      </c>
      <c r="D84" s="30"/>
      <c r="E84" s="42"/>
      <c r="F84" s="43" t="s">
        <v>45</v>
      </c>
      <c r="G84" s="43" t="s">
        <v>45</v>
      </c>
      <c r="H84" s="43" t="s">
        <v>45</v>
      </c>
      <c r="I84" s="42"/>
      <c r="J84" s="43" t="s">
        <v>45</v>
      </c>
      <c r="K84" s="43" t="s">
        <v>45</v>
      </c>
      <c r="L84" s="43" t="s">
        <v>45</v>
      </c>
      <c r="M84" s="42"/>
      <c r="N84" s="43" t="s">
        <v>45</v>
      </c>
      <c r="O84" s="43" t="s">
        <v>45</v>
      </c>
      <c r="P84" s="43" t="s">
        <v>45</v>
      </c>
      <c r="Q84" s="42"/>
      <c r="R84" s="43" t="s">
        <v>45</v>
      </c>
      <c r="S84" s="43" t="s">
        <v>45</v>
      </c>
      <c r="T84" s="43" t="s">
        <v>45</v>
      </c>
      <c r="U84" s="42"/>
      <c r="V84" s="39" t="s">
        <v>245</v>
      </c>
      <c r="W84" s="30"/>
      <c r="X84" s="45">
        <v>10000</v>
      </c>
      <c r="Y84" s="45"/>
      <c r="AA84" s="238"/>
      <c r="AB84" s="30"/>
      <c r="AC84" s="30"/>
      <c r="AD84" s="31" t="s">
        <v>178</v>
      </c>
    </row>
    <row r="85" spans="1:31" ht="76.5" x14ac:dyDescent="0.2">
      <c r="A85" s="30">
        <f t="shared" ref="A85:A90" si="2">+A84+1</f>
        <v>4</v>
      </c>
      <c r="B85" s="31" t="s">
        <v>246</v>
      </c>
      <c r="C85" s="31" t="s">
        <v>247</v>
      </c>
      <c r="D85" s="30"/>
      <c r="E85" s="42"/>
      <c r="F85" s="43"/>
      <c r="G85" s="43"/>
      <c r="H85" s="43" t="s">
        <v>45</v>
      </c>
      <c r="I85" s="42"/>
      <c r="J85" s="43"/>
      <c r="K85" s="43"/>
      <c r="L85" s="43"/>
      <c r="M85" s="42"/>
      <c r="N85" s="43"/>
      <c r="O85" s="43"/>
      <c r="P85" s="43"/>
      <c r="Q85" s="42"/>
      <c r="R85" s="43"/>
      <c r="S85" s="43"/>
      <c r="T85" s="43"/>
      <c r="U85" s="42"/>
      <c r="V85" s="39" t="s">
        <v>248</v>
      </c>
      <c r="W85" s="30"/>
      <c r="X85" s="46">
        <v>38600</v>
      </c>
      <c r="Y85" s="46"/>
      <c r="Z85" s="245">
        <v>19300000</v>
      </c>
      <c r="AA85" s="238"/>
      <c r="AB85" s="30"/>
      <c r="AC85" s="30"/>
      <c r="AD85" s="31" t="s">
        <v>178</v>
      </c>
    </row>
    <row r="86" spans="1:31" ht="76.5" x14ac:dyDescent="0.2">
      <c r="A86" s="30">
        <f t="shared" si="2"/>
        <v>5</v>
      </c>
      <c r="B86" s="31" t="s">
        <v>249</v>
      </c>
      <c r="C86" s="31" t="s">
        <v>250</v>
      </c>
      <c r="D86" s="30"/>
      <c r="E86" s="42"/>
      <c r="F86" s="43"/>
      <c r="G86" s="43" t="s">
        <v>45</v>
      </c>
      <c r="H86" s="43" t="s">
        <v>45</v>
      </c>
      <c r="I86" s="42"/>
      <c r="J86" s="43" t="s">
        <v>45</v>
      </c>
      <c r="K86" s="43"/>
      <c r="L86" s="43"/>
      <c r="M86" s="42"/>
      <c r="N86" s="43"/>
      <c r="O86" s="43"/>
      <c r="P86" s="43"/>
      <c r="Q86" s="42"/>
      <c r="R86" s="43"/>
      <c r="S86" s="43"/>
      <c r="T86" s="43"/>
      <c r="U86" s="42"/>
      <c r="V86" s="39" t="s">
        <v>251</v>
      </c>
      <c r="W86" s="30"/>
      <c r="X86" s="46">
        <v>30000</v>
      </c>
      <c r="Y86" s="46"/>
      <c r="Z86" s="245">
        <v>1225000</v>
      </c>
      <c r="AA86" s="238"/>
      <c r="AB86" s="30"/>
      <c r="AC86" s="30"/>
      <c r="AD86" s="31" t="s">
        <v>178</v>
      </c>
    </row>
    <row r="87" spans="1:31" ht="102" x14ac:dyDescent="0.2">
      <c r="A87" s="30">
        <f t="shared" si="2"/>
        <v>6</v>
      </c>
      <c r="B87" s="31" t="s">
        <v>252</v>
      </c>
      <c r="C87" s="31" t="s">
        <v>253</v>
      </c>
      <c r="D87" s="30"/>
      <c r="E87" s="42"/>
      <c r="F87" s="43" t="s">
        <v>45</v>
      </c>
      <c r="G87" s="43" t="s">
        <v>45</v>
      </c>
      <c r="H87" s="43" t="s">
        <v>45</v>
      </c>
      <c r="I87" s="42"/>
      <c r="J87" s="43" t="s">
        <v>45</v>
      </c>
      <c r="K87" s="43" t="s">
        <v>45</v>
      </c>
      <c r="L87" s="43" t="s">
        <v>45</v>
      </c>
      <c r="M87" s="42"/>
      <c r="N87" s="43"/>
      <c r="O87" s="43"/>
      <c r="P87" s="43"/>
      <c r="Q87" s="42"/>
      <c r="R87" s="43"/>
      <c r="S87" s="43"/>
      <c r="T87" s="43"/>
      <c r="U87" s="42"/>
      <c r="V87" s="31" t="s">
        <v>254</v>
      </c>
      <c r="W87" s="30"/>
      <c r="X87" s="46">
        <v>10000</v>
      </c>
      <c r="Y87" s="46"/>
      <c r="Z87" s="245"/>
      <c r="AA87" s="238"/>
      <c r="AB87" s="30"/>
      <c r="AC87" s="30"/>
      <c r="AD87" s="31" t="s">
        <v>255</v>
      </c>
    </row>
    <row r="88" spans="1:31" ht="357" x14ac:dyDescent="0.2">
      <c r="A88" s="30">
        <f t="shared" si="2"/>
        <v>7</v>
      </c>
      <c r="B88" s="31" t="s">
        <v>256</v>
      </c>
      <c r="C88" s="31" t="s">
        <v>257</v>
      </c>
      <c r="D88" s="30"/>
      <c r="E88" s="42"/>
      <c r="F88" s="43" t="s">
        <v>45</v>
      </c>
      <c r="G88" s="43" t="s">
        <v>45</v>
      </c>
      <c r="H88" s="43" t="s">
        <v>45</v>
      </c>
      <c r="I88" s="42"/>
      <c r="J88" s="43" t="s">
        <v>45</v>
      </c>
      <c r="K88" s="43" t="s">
        <v>45</v>
      </c>
      <c r="L88" s="43" t="s">
        <v>45</v>
      </c>
      <c r="M88" s="42"/>
      <c r="N88" s="43"/>
      <c r="O88" s="43"/>
      <c r="P88" s="43"/>
      <c r="Q88" s="42"/>
      <c r="R88" s="43"/>
      <c r="S88" s="43"/>
      <c r="T88" s="43"/>
      <c r="U88" s="42"/>
      <c r="V88" s="31" t="s">
        <v>258</v>
      </c>
      <c r="W88" s="30"/>
      <c r="X88" s="46">
        <v>45000</v>
      </c>
      <c r="Y88" s="46"/>
      <c r="Z88" s="245">
        <v>230000</v>
      </c>
      <c r="AA88" s="238"/>
      <c r="AB88" s="30"/>
      <c r="AC88" s="30"/>
      <c r="AD88" s="31" t="s">
        <v>255</v>
      </c>
    </row>
    <row r="89" spans="1:31" ht="267.75" x14ac:dyDescent="0.2">
      <c r="A89" s="30">
        <f t="shared" si="2"/>
        <v>8</v>
      </c>
      <c r="B89" s="31" t="s">
        <v>259</v>
      </c>
      <c r="C89" s="31" t="s">
        <v>260</v>
      </c>
      <c r="D89" s="30"/>
      <c r="E89" s="42"/>
      <c r="F89" s="43" t="s">
        <v>45</v>
      </c>
      <c r="G89" s="43" t="s">
        <v>45</v>
      </c>
      <c r="H89" s="43" t="s">
        <v>45</v>
      </c>
      <c r="I89" s="42"/>
      <c r="J89" s="43" t="s">
        <v>45</v>
      </c>
      <c r="K89" s="43" t="s">
        <v>45</v>
      </c>
      <c r="L89" s="43" t="s">
        <v>45</v>
      </c>
      <c r="M89" s="42"/>
      <c r="N89" s="43"/>
      <c r="O89" s="43"/>
      <c r="P89" s="43"/>
      <c r="Q89" s="42"/>
      <c r="R89" s="43"/>
      <c r="S89" s="43"/>
      <c r="T89" s="43"/>
      <c r="U89" s="42"/>
      <c r="V89" s="31" t="s">
        <v>261</v>
      </c>
      <c r="W89" s="30"/>
      <c r="X89" s="46">
        <v>15000</v>
      </c>
      <c r="Y89" s="46"/>
      <c r="Z89" s="245"/>
      <c r="AA89" s="238"/>
      <c r="AB89" s="30"/>
      <c r="AC89" s="30"/>
      <c r="AD89" s="31" t="s">
        <v>255</v>
      </c>
    </row>
    <row r="90" spans="1:31" ht="114.75" x14ac:dyDescent="0.2">
      <c r="A90" s="30">
        <f t="shared" si="2"/>
        <v>9</v>
      </c>
      <c r="B90" s="31" t="s">
        <v>262</v>
      </c>
      <c r="C90" s="31" t="s">
        <v>263</v>
      </c>
      <c r="D90" s="30"/>
      <c r="E90" s="42"/>
      <c r="F90" s="43" t="s">
        <v>45</v>
      </c>
      <c r="G90" s="43" t="s">
        <v>45</v>
      </c>
      <c r="H90" s="43" t="s">
        <v>45</v>
      </c>
      <c r="I90" s="42"/>
      <c r="J90" s="43" t="s">
        <v>45</v>
      </c>
      <c r="K90" s="43" t="s">
        <v>45</v>
      </c>
      <c r="L90" s="43" t="s">
        <v>45</v>
      </c>
      <c r="M90" s="42"/>
      <c r="N90" s="43"/>
      <c r="O90" s="43"/>
      <c r="P90" s="43"/>
      <c r="Q90" s="42"/>
      <c r="R90" s="43"/>
      <c r="S90" s="43"/>
      <c r="T90" s="43"/>
      <c r="U90" s="42"/>
      <c r="V90" s="31" t="s">
        <v>264</v>
      </c>
      <c r="W90" s="30"/>
      <c r="X90" s="46">
        <v>30000</v>
      </c>
      <c r="Y90" s="46"/>
      <c r="Z90" s="238"/>
      <c r="AA90" s="238"/>
      <c r="AB90" s="30"/>
      <c r="AC90" s="30"/>
      <c r="AD90" s="31" t="s">
        <v>178</v>
      </c>
    </row>
    <row r="91" spans="1:31" ht="13.5" x14ac:dyDescent="0.2">
      <c r="A91" s="30"/>
      <c r="B91" s="318" t="s">
        <v>265</v>
      </c>
      <c r="C91" s="318"/>
      <c r="D91" s="318"/>
      <c r="E91" s="318"/>
      <c r="F91" s="318"/>
      <c r="G91" s="318"/>
      <c r="H91" s="318"/>
      <c r="I91" s="318"/>
      <c r="J91" s="318"/>
      <c r="K91" s="318"/>
      <c r="L91" s="318"/>
      <c r="M91" s="318"/>
      <c r="N91" s="318"/>
      <c r="O91" s="318"/>
      <c r="P91" s="318"/>
      <c r="Q91" s="318"/>
      <c r="R91" s="318"/>
      <c r="S91" s="318"/>
      <c r="T91" s="318"/>
      <c r="U91" s="318"/>
      <c r="V91" s="318"/>
      <c r="W91" s="318"/>
      <c r="X91" s="318"/>
      <c r="Y91" s="318"/>
      <c r="Z91" s="318"/>
      <c r="AA91" s="318"/>
      <c r="AB91" s="318"/>
      <c r="AC91" s="318"/>
      <c r="AD91" s="318"/>
    </row>
    <row r="92" spans="1:31" ht="51" x14ac:dyDescent="0.2">
      <c r="A92" s="30">
        <f>1</f>
        <v>1</v>
      </c>
      <c r="B92" s="39" t="s">
        <v>266</v>
      </c>
      <c r="C92" s="41" t="s">
        <v>267</v>
      </c>
      <c r="D92" s="30"/>
      <c r="E92" s="42"/>
      <c r="F92" s="31" t="s">
        <v>45</v>
      </c>
      <c r="G92" s="31" t="s">
        <v>45</v>
      </c>
      <c r="H92" s="31" t="s">
        <v>45</v>
      </c>
      <c r="I92" s="42"/>
      <c r="J92" s="31" t="s">
        <v>45</v>
      </c>
      <c r="K92" s="31" t="s">
        <v>45</v>
      </c>
      <c r="L92" s="31" t="s">
        <v>45</v>
      </c>
      <c r="M92" s="42"/>
      <c r="N92" s="43" t="s">
        <v>45</v>
      </c>
      <c r="O92" s="43" t="s">
        <v>45</v>
      </c>
      <c r="P92" s="43" t="s">
        <v>45</v>
      </c>
      <c r="Q92" s="42"/>
      <c r="R92" s="43" t="s">
        <v>45</v>
      </c>
      <c r="S92" s="43" t="s">
        <v>45</v>
      </c>
      <c r="T92" s="43" t="s">
        <v>45</v>
      </c>
      <c r="U92" s="42"/>
      <c r="V92" s="39" t="s">
        <v>268</v>
      </c>
      <c r="W92" s="30"/>
      <c r="X92" s="45">
        <v>1000</v>
      </c>
      <c r="Y92" s="45"/>
      <c r="Z92" s="45"/>
      <c r="AA92" s="45"/>
      <c r="AB92" s="30"/>
      <c r="AC92" s="30"/>
      <c r="AD92" s="31" t="s">
        <v>269</v>
      </c>
    </row>
    <row r="93" spans="1:31" ht="51" x14ac:dyDescent="0.2">
      <c r="A93" s="30">
        <f>+A92+1</f>
        <v>2</v>
      </c>
      <c r="B93" s="39" t="s">
        <v>270</v>
      </c>
      <c r="C93" s="39" t="s">
        <v>271</v>
      </c>
      <c r="D93" s="30"/>
      <c r="E93" s="42"/>
      <c r="F93" s="31"/>
      <c r="G93" s="31"/>
      <c r="H93" s="31"/>
      <c r="I93" s="42"/>
      <c r="J93" s="43"/>
      <c r="K93" s="43"/>
      <c r="L93" s="43"/>
      <c r="M93" s="42"/>
      <c r="N93" s="43"/>
      <c r="O93" s="43"/>
      <c r="P93" s="43" t="s">
        <v>45</v>
      </c>
      <c r="Q93" s="42"/>
      <c r="R93" s="43" t="s">
        <v>45</v>
      </c>
      <c r="S93" s="43"/>
      <c r="T93" s="43"/>
      <c r="U93" s="42"/>
      <c r="V93" s="39" t="s">
        <v>272</v>
      </c>
      <c r="W93" s="30"/>
      <c r="X93" s="45">
        <v>3000</v>
      </c>
      <c r="Y93" s="45"/>
      <c r="Z93" s="45"/>
      <c r="AA93" s="45"/>
      <c r="AB93" s="30"/>
      <c r="AC93" s="30"/>
      <c r="AD93" s="31" t="s">
        <v>269</v>
      </c>
    </row>
    <row r="94" spans="1:31" ht="13.5" x14ac:dyDescent="0.2">
      <c r="A94" s="30"/>
      <c r="B94" s="318" t="s">
        <v>273</v>
      </c>
      <c r="C94" s="318"/>
      <c r="D94" s="318"/>
      <c r="E94" s="318"/>
      <c r="F94" s="318"/>
      <c r="G94" s="318"/>
      <c r="H94" s="318"/>
      <c r="I94" s="318"/>
      <c r="J94" s="318"/>
      <c r="K94" s="318"/>
      <c r="L94" s="318"/>
      <c r="M94" s="318"/>
      <c r="N94" s="318"/>
      <c r="O94" s="318"/>
      <c r="P94" s="318"/>
      <c r="Q94" s="318"/>
      <c r="R94" s="318"/>
      <c r="S94" s="318"/>
      <c r="T94" s="318"/>
      <c r="U94" s="318"/>
      <c r="V94" s="318"/>
      <c r="W94" s="318"/>
      <c r="X94" s="318"/>
      <c r="Y94" s="318"/>
      <c r="Z94" s="318"/>
      <c r="AA94" s="318"/>
      <c r="AB94" s="318"/>
      <c r="AC94" s="318"/>
      <c r="AD94" s="318"/>
    </row>
    <row r="95" spans="1:31" ht="76.5" x14ac:dyDescent="0.2">
      <c r="A95" s="30">
        <f>1</f>
        <v>1</v>
      </c>
      <c r="B95" s="39" t="s">
        <v>274</v>
      </c>
      <c r="C95" s="41" t="s">
        <v>275</v>
      </c>
      <c r="D95" s="30"/>
      <c r="E95" s="42"/>
      <c r="F95" s="43"/>
      <c r="G95" s="43"/>
      <c r="H95" s="43"/>
      <c r="I95" s="42"/>
      <c r="J95" s="43"/>
      <c r="K95" s="43"/>
      <c r="L95" s="43"/>
      <c r="M95" s="42"/>
      <c r="N95" s="43" t="s">
        <v>45</v>
      </c>
      <c r="O95" s="43" t="s">
        <v>45</v>
      </c>
      <c r="P95" s="43" t="s">
        <v>45</v>
      </c>
      <c r="Q95" s="42"/>
      <c r="R95" s="43"/>
      <c r="S95" s="43"/>
      <c r="T95" s="43"/>
      <c r="U95" s="42"/>
      <c r="V95" s="31" t="s">
        <v>276</v>
      </c>
      <c r="W95" s="30"/>
      <c r="X95" s="45">
        <v>21566</v>
      </c>
      <c r="Y95" s="45"/>
      <c r="Z95" s="238"/>
      <c r="AA95" s="238"/>
      <c r="AB95" s="30"/>
      <c r="AC95" s="30"/>
      <c r="AD95" s="31" t="s">
        <v>269</v>
      </c>
    </row>
    <row r="96" spans="1:31" ht="76.5" x14ac:dyDescent="0.2">
      <c r="A96" s="30">
        <f t="shared" ref="A96:A110" si="3">+A95+1</f>
        <v>2</v>
      </c>
      <c r="B96" s="39" t="s">
        <v>277</v>
      </c>
      <c r="C96" s="41" t="s">
        <v>278</v>
      </c>
      <c r="D96" s="30"/>
      <c r="E96" s="42"/>
      <c r="F96" s="43"/>
      <c r="G96" s="43"/>
      <c r="H96" s="43"/>
      <c r="I96" s="42"/>
      <c r="J96" s="43"/>
      <c r="K96" s="43"/>
      <c r="L96" s="43"/>
      <c r="M96" s="42"/>
      <c r="N96" s="43"/>
      <c r="O96" s="43" t="s">
        <v>45</v>
      </c>
      <c r="P96" s="43"/>
      <c r="Q96" s="42"/>
      <c r="R96" s="43"/>
      <c r="S96" s="43"/>
      <c r="T96" s="43"/>
      <c r="U96" s="42"/>
      <c r="V96" s="31" t="s">
        <v>279</v>
      </c>
      <c r="W96" s="30"/>
      <c r="X96" s="45">
        <v>13000</v>
      </c>
      <c r="Y96" s="45"/>
      <c r="Z96" s="238">
        <v>6888602</v>
      </c>
      <c r="AA96" s="238"/>
      <c r="AB96" s="30"/>
      <c r="AC96" s="30"/>
      <c r="AD96" s="31" t="s">
        <v>269</v>
      </c>
    </row>
    <row r="97" spans="1:30" ht="45.75" customHeight="1" x14ac:dyDescent="0.2">
      <c r="A97" s="30">
        <f t="shared" si="3"/>
        <v>3</v>
      </c>
      <c r="B97" s="39" t="s">
        <v>280</v>
      </c>
      <c r="C97" s="41" t="s">
        <v>281</v>
      </c>
      <c r="D97" s="41"/>
      <c r="E97" s="42"/>
      <c r="F97" s="43"/>
      <c r="G97" s="43"/>
      <c r="H97" s="43"/>
      <c r="I97" s="42"/>
      <c r="J97" s="43" t="s">
        <v>45</v>
      </c>
      <c r="K97" s="43" t="s">
        <v>45</v>
      </c>
      <c r="L97" s="43" t="s">
        <v>45</v>
      </c>
      <c r="M97" s="42"/>
      <c r="N97" s="43"/>
      <c r="O97" s="43"/>
      <c r="P97" s="43"/>
      <c r="Q97" s="42"/>
      <c r="R97" s="43"/>
      <c r="S97" s="43"/>
      <c r="T97" s="43"/>
      <c r="U97" s="42"/>
      <c r="V97" s="31" t="s">
        <v>282</v>
      </c>
      <c r="W97" s="30"/>
      <c r="X97" s="45">
        <v>4000</v>
      </c>
      <c r="Y97" s="45"/>
      <c r="Z97" s="238"/>
      <c r="AA97" s="238"/>
      <c r="AB97" s="30"/>
      <c r="AC97" s="30"/>
      <c r="AD97" s="31" t="s">
        <v>283</v>
      </c>
    </row>
    <row r="98" spans="1:30" ht="13.5" x14ac:dyDescent="0.2">
      <c r="A98" s="30"/>
      <c r="B98" s="318" t="s">
        <v>284</v>
      </c>
      <c r="C98" s="318"/>
      <c r="D98" s="318"/>
      <c r="E98" s="318"/>
      <c r="F98" s="318"/>
      <c r="G98" s="318"/>
      <c r="H98" s="318"/>
      <c r="I98" s="318"/>
      <c r="J98" s="318"/>
      <c r="K98" s="318"/>
      <c r="L98" s="318"/>
      <c r="M98" s="318"/>
      <c r="N98" s="318"/>
      <c r="O98" s="318"/>
      <c r="P98" s="318"/>
      <c r="Q98" s="318"/>
      <c r="R98" s="318"/>
      <c r="S98" s="318"/>
      <c r="T98" s="318"/>
      <c r="U98" s="318"/>
      <c r="V98" s="318"/>
      <c r="W98" s="318"/>
      <c r="X98" s="318"/>
      <c r="Y98" s="318"/>
      <c r="Z98" s="318"/>
      <c r="AA98" s="318"/>
      <c r="AB98" s="318"/>
      <c r="AC98" s="318"/>
      <c r="AD98" s="318"/>
    </row>
    <row r="99" spans="1:30" ht="204" x14ac:dyDescent="0.2">
      <c r="A99" s="30">
        <f>1</f>
        <v>1</v>
      </c>
      <c r="B99" s="31" t="s">
        <v>285</v>
      </c>
      <c r="C99" s="31" t="s">
        <v>286</v>
      </c>
      <c r="D99" s="30"/>
      <c r="E99" s="42"/>
      <c r="F99" s="43" t="s">
        <v>45</v>
      </c>
      <c r="G99" s="43" t="s">
        <v>45</v>
      </c>
      <c r="H99" s="43" t="s">
        <v>45</v>
      </c>
      <c r="I99" s="42"/>
      <c r="J99" s="43" t="s">
        <v>45</v>
      </c>
      <c r="K99" s="43" t="s">
        <v>45</v>
      </c>
      <c r="L99" s="43" t="s">
        <v>45</v>
      </c>
      <c r="M99" s="42"/>
      <c r="N99" s="43" t="s">
        <v>45</v>
      </c>
      <c r="O99" s="43" t="s">
        <v>45</v>
      </c>
      <c r="P99" s="43" t="s">
        <v>45</v>
      </c>
      <c r="Q99" s="42"/>
      <c r="R99" s="43" t="s">
        <v>45</v>
      </c>
      <c r="S99" s="43" t="s">
        <v>45</v>
      </c>
      <c r="T99" s="43" t="s">
        <v>45</v>
      </c>
      <c r="U99" s="42"/>
      <c r="V99" s="31" t="s">
        <v>287</v>
      </c>
      <c r="W99" s="31" t="s">
        <v>288</v>
      </c>
      <c r="X99" s="45">
        <v>3000</v>
      </c>
      <c r="Y99" s="45"/>
      <c r="Z99" s="31"/>
      <c r="AA99" s="31"/>
      <c r="AB99" s="30"/>
      <c r="AC99" s="30"/>
      <c r="AD99" s="31" t="s">
        <v>178</v>
      </c>
    </row>
    <row r="100" spans="1:30" x14ac:dyDescent="0.2">
      <c r="A100" s="30"/>
      <c r="B100" s="319" t="s">
        <v>289</v>
      </c>
      <c r="C100" s="319"/>
      <c r="D100" s="319"/>
      <c r="E100" s="319"/>
      <c r="F100" s="319"/>
      <c r="G100" s="319"/>
      <c r="H100" s="319"/>
      <c r="I100" s="319"/>
      <c r="J100" s="319"/>
      <c r="K100" s="319"/>
      <c r="L100" s="319"/>
      <c r="M100" s="319"/>
      <c r="N100" s="319"/>
      <c r="O100" s="319"/>
      <c r="P100" s="319"/>
      <c r="Q100" s="319"/>
      <c r="R100" s="319"/>
      <c r="S100" s="319"/>
      <c r="T100" s="319"/>
      <c r="U100" s="319"/>
      <c r="V100" s="319"/>
      <c r="W100" s="319"/>
      <c r="X100" s="319"/>
      <c r="Y100" s="319"/>
      <c r="Z100" s="319"/>
      <c r="AA100" s="319"/>
      <c r="AB100" s="319"/>
      <c r="AC100" s="319"/>
      <c r="AD100" s="319"/>
    </row>
    <row r="101" spans="1:30" ht="13.5" x14ac:dyDescent="0.2">
      <c r="A101" s="30"/>
      <c r="B101" s="318" t="s">
        <v>290</v>
      </c>
      <c r="C101" s="318"/>
      <c r="D101" s="318"/>
      <c r="E101" s="318"/>
      <c r="F101" s="318"/>
      <c r="G101" s="318"/>
      <c r="H101" s="318"/>
      <c r="I101" s="318"/>
      <c r="J101" s="318"/>
      <c r="K101" s="318"/>
      <c r="L101" s="318"/>
      <c r="M101" s="318"/>
      <c r="N101" s="318"/>
      <c r="O101" s="318"/>
      <c r="P101" s="318"/>
      <c r="Q101" s="318"/>
      <c r="R101" s="318"/>
      <c r="S101" s="318"/>
      <c r="T101" s="318"/>
      <c r="U101" s="318"/>
      <c r="V101" s="318"/>
      <c r="W101" s="318"/>
      <c r="X101" s="318"/>
      <c r="Y101" s="318"/>
      <c r="Z101" s="318"/>
      <c r="AA101" s="318"/>
      <c r="AB101" s="318"/>
      <c r="AC101" s="318"/>
      <c r="AD101" s="318"/>
    </row>
    <row r="102" spans="1:30" ht="76.5" x14ac:dyDescent="0.2">
      <c r="A102" s="30">
        <f>1</f>
        <v>1</v>
      </c>
      <c r="B102" s="39" t="s">
        <v>291</v>
      </c>
      <c r="C102" s="39" t="s">
        <v>292</v>
      </c>
      <c r="D102" s="30"/>
      <c r="E102" s="32"/>
      <c r="F102" s="43"/>
      <c r="G102" s="43"/>
      <c r="H102" s="43" t="s">
        <v>45</v>
      </c>
      <c r="I102" s="32"/>
      <c r="J102" s="43" t="s">
        <v>45</v>
      </c>
      <c r="K102" s="43" t="s">
        <v>45</v>
      </c>
      <c r="L102" s="43" t="s">
        <v>45</v>
      </c>
      <c r="M102" s="32"/>
      <c r="N102" s="43" t="s">
        <v>45</v>
      </c>
      <c r="O102" s="43" t="s">
        <v>45</v>
      </c>
      <c r="P102" s="43" t="s">
        <v>45</v>
      </c>
      <c r="Q102" s="32"/>
      <c r="R102" s="43" t="s">
        <v>45</v>
      </c>
      <c r="S102" s="43" t="s">
        <v>45</v>
      </c>
      <c r="T102" s="43" t="s">
        <v>45</v>
      </c>
      <c r="U102" s="42"/>
      <c r="V102" s="31" t="s">
        <v>293</v>
      </c>
      <c r="W102" s="42"/>
      <c r="X102" s="45">
        <v>2595</v>
      </c>
      <c r="Y102" s="45"/>
      <c r="Z102" s="246">
        <v>551140</v>
      </c>
      <c r="AA102" s="238"/>
      <c r="AB102" s="30"/>
      <c r="AC102" s="30"/>
      <c r="AD102" s="31" t="s">
        <v>178</v>
      </c>
    </row>
    <row r="103" spans="1:30" ht="76.5" x14ac:dyDescent="0.2">
      <c r="A103" s="30">
        <f t="shared" si="3"/>
        <v>2</v>
      </c>
      <c r="B103" s="39" t="s">
        <v>294</v>
      </c>
      <c r="C103" s="39" t="s">
        <v>295</v>
      </c>
      <c r="D103" s="30"/>
      <c r="E103" s="32"/>
      <c r="F103" s="43" t="s">
        <v>45</v>
      </c>
      <c r="G103" s="43" t="s">
        <v>45</v>
      </c>
      <c r="H103" s="43" t="s">
        <v>45</v>
      </c>
      <c r="I103" s="32"/>
      <c r="J103" s="43" t="s">
        <v>45</v>
      </c>
      <c r="K103" s="43" t="s">
        <v>45</v>
      </c>
      <c r="L103" s="43" t="s">
        <v>45</v>
      </c>
      <c r="M103" s="32"/>
      <c r="N103" s="43" t="s">
        <v>45</v>
      </c>
      <c r="O103" s="43" t="s">
        <v>45</v>
      </c>
      <c r="P103" s="43" t="s">
        <v>45</v>
      </c>
      <c r="Q103" s="32"/>
      <c r="R103" s="43" t="s">
        <v>45</v>
      </c>
      <c r="S103" s="43" t="s">
        <v>45</v>
      </c>
      <c r="T103" s="43" t="s">
        <v>45</v>
      </c>
      <c r="U103" s="42"/>
      <c r="V103" s="31" t="s">
        <v>296</v>
      </c>
      <c r="W103" s="42"/>
      <c r="X103" s="45">
        <v>13206</v>
      </c>
      <c r="Y103" s="45"/>
      <c r="Z103" s="246">
        <v>7196461</v>
      </c>
      <c r="AA103" s="238"/>
      <c r="AB103" s="30"/>
      <c r="AC103" s="30"/>
      <c r="AD103" s="31" t="s">
        <v>178</v>
      </c>
    </row>
    <row r="104" spans="1:30" ht="102" x14ac:dyDescent="0.2">
      <c r="A104" s="30">
        <f t="shared" si="3"/>
        <v>3</v>
      </c>
      <c r="B104" s="39" t="s">
        <v>297</v>
      </c>
      <c r="C104" s="39" t="s">
        <v>298</v>
      </c>
      <c r="D104" s="30"/>
      <c r="E104" s="32"/>
      <c r="F104" s="43" t="s">
        <v>45</v>
      </c>
      <c r="G104" s="43" t="s">
        <v>45</v>
      </c>
      <c r="H104" s="43" t="s">
        <v>45</v>
      </c>
      <c r="I104" s="32"/>
      <c r="J104" s="43" t="s">
        <v>45</v>
      </c>
      <c r="K104" s="43" t="s">
        <v>45</v>
      </c>
      <c r="L104" s="43" t="s">
        <v>45</v>
      </c>
      <c r="M104" s="32"/>
      <c r="N104" s="43" t="s">
        <v>45</v>
      </c>
      <c r="O104" s="43" t="s">
        <v>45</v>
      </c>
      <c r="P104" s="43" t="s">
        <v>45</v>
      </c>
      <c r="Q104" s="32"/>
      <c r="R104" s="43" t="s">
        <v>45</v>
      </c>
      <c r="S104" s="43" t="s">
        <v>45</v>
      </c>
      <c r="T104" s="43" t="s">
        <v>45</v>
      </c>
      <c r="U104" s="42"/>
      <c r="V104" s="31" t="s">
        <v>299</v>
      </c>
      <c r="W104" s="42"/>
      <c r="X104" s="45">
        <v>8000</v>
      </c>
      <c r="Y104" s="45"/>
      <c r="Z104" s="246">
        <v>375830</v>
      </c>
      <c r="AA104" s="238"/>
      <c r="AB104" s="30"/>
      <c r="AC104" s="30"/>
      <c r="AD104" s="31" t="s">
        <v>178</v>
      </c>
    </row>
    <row r="105" spans="1:30" ht="102" x14ac:dyDescent="0.2">
      <c r="A105" s="30">
        <f t="shared" si="3"/>
        <v>4</v>
      </c>
      <c r="B105" s="39" t="s">
        <v>300</v>
      </c>
      <c r="C105" s="39" t="s">
        <v>301</v>
      </c>
      <c r="D105" s="30"/>
      <c r="E105" s="32"/>
      <c r="F105" s="43" t="s">
        <v>45</v>
      </c>
      <c r="G105" s="43" t="s">
        <v>45</v>
      </c>
      <c r="H105" s="43" t="s">
        <v>45</v>
      </c>
      <c r="I105" s="32"/>
      <c r="J105" s="43" t="s">
        <v>45</v>
      </c>
      <c r="K105" s="43" t="s">
        <v>45</v>
      </c>
      <c r="L105" s="43" t="s">
        <v>45</v>
      </c>
      <c r="M105" s="32"/>
      <c r="N105" s="43" t="s">
        <v>45</v>
      </c>
      <c r="O105" s="43" t="s">
        <v>45</v>
      </c>
      <c r="P105" s="43" t="s">
        <v>45</v>
      </c>
      <c r="Q105" s="32"/>
      <c r="R105" s="43" t="s">
        <v>45</v>
      </c>
      <c r="S105" s="43" t="s">
        <v>45</v>
      </c>
      <c r="T105" s="43" t="s">
        <v>45</v>
      </c>
      <c r="U105" s="42"/>
      <c r="V105" s="31" t="s">
        <v>302</v>
      </c>
      <c r="W105" s="42"/>
      <c r="X105" s="45">
        <v>20000</v>
      </c>
      <c r="Y105" s="45"/>
      <c r="Z105" s="246"/>
      <c r="AA105" s="238"/>
      <c r="AB105" s="30"/>
      <c r="AC105" s="30"/>
      <c r="AD105" s="31" t="s">
        <v>178</v>
      </c>
    </row>
    <row r="106" spans="1:30" ht="13.5" x14ac:dyDescent="0.2">
      <c r="A106" s="30"/>
      <c r="B106" s="318" t="s">
        <v>303</v>
      </c>
      <c r="C106" s="318"/>
      <c r="D106" s="318"/>
      <c r="E106" s="318"/>
      <c r="F106" s="318"/>
      <c r="G106" s="318"/>
      <c r="H106" s="318"/>
      <c r="I106" s="318"/>
      <c r="J106" s="318"/>
      <c r="K106" s="318"/>
      <c r="L106" s="318"/>
      <c r="M106" s="318"/>
      <c r="N106" s="318"/>
      <c r="O106" s="318"/>
      <c r="P106" s="318"/>
      <c r="Q106" s="318"/>
      <c r="R106" s="318"/>
      <c r="S106" s="318"/>
      <c r="T106" s="318"/>
      <c r="U106" s="318"/>
      <c r="V106" s="318"/>
      <c r="W106" s="318"/>
      <c r="X106" s="318"/>
      <c r="Y106" s="318"/>
      <c r="Z106" s="318"/>
      <c r="AA106" s="318"/>
      <c r="AB106" s="318"/>
      <c r="AC106" s="318"/>
      <c r="AD106" s="318"/>
    </row>
    <row r="107" spans="1:30" ht="38.25" x14ac:dyDescent="0.2">
      <c r="A107" s="30">
        <f>1</f>
        <v>1</v>
      </c>
      <c r="B107" s="39" t="s">
        <v>304</v>
      </c>
      <c r="C107" s="39" t="s">
        <v>305</v>
      </c>
      <c r="D107" s="39"/>
      <c r="E107" s="32"/>
      <c r="F107" s="230"/>
      <c r="G107" s="230"/>
      <c r="H107" s="230"/>
      <c r="I107" s="32"/>
      <c r="J107" s="230"/>
      <c r="K107" s="230"/>
      <c r="L107" s="230"/>
      <c r="M107" s="32"/>
      <c r="N107" s="230" t="s">
        <v>45</v>
      </c>
      <c r="O107" s="230"/>
      <c r="P107" s="230"/>
      <c r="Q107" s="32"/>
      <c r="R107" s="230"/>
      <c r="S107" s="230"/>
      <c r="T107" s="230"/>
      <c r="U107" s="32"/>
      <c r="V107" s="34" t="s">
        <v>306</v>
      </c>
      <c r="W107" s="42"/>
      <c r="X107" s="37">
        <v>3582</v>
      </c>
      <c r="Y107" s="37"/>
      <c r="Z107" s="239">
        <v>559279</v>
      </c>
      <c r="AA107" s="239"/>
      <c r="AB107" s="28"/>
      <c r="AC107" s="48"/>
      <c r="AD107" s="29" t="s">
        <v>178</v>
      </c>
    </row>
    <row r="108" spans="1:30" ht="38.25" x14ac:dyDescent="0.2">
      <c r="A108" s="30">
        <f t="shared" si="3"/>
        <v>2</v>
      </c>
      <c r="B108" s="39" t="s">
        <v>307</v>
      </c>
      <c r="C108" s="39" t="s">
        <v>308</v>
      </c>
      <c r="D108" s="39"/>
      <c r="E108" s="32"/>
      <c r="F108" s="230"/>
      <c r="G108" s="230"/>
      <c r="H108" s="230" t="s">
        <v>45</v>
      </c>
      <c r="I108" s="32"/>
      <c r="J108" s="230"/>
      <c r="K108" s="230"/>
      <c r="L108" s="230"/>
      <c r="M108" s="32"/>
      <c r="N108" s="230"/>
      <c r="O108" s="230"/>
      <c r="P108" s="230"/>
      <c r="Q108" s="32"/>
      <c r="R108" s="230"/>
      <c r="S108" s="230"/>
      <c r="T108" s="230"/>
      <c r="U108" s="32"/>
      <c r="V108" s="34" t="s">
        <v>309</v>
      </c>
      <c r="W108" s="42"/>
      <c r="X108" s="37">
        <v>6372</v>
      </c>
      <c r="Y108" s="37"/>
      <c r="Z108" s="239">
        <v>3026700</v>
      </c>
      <c r="AA108" s="239"/>
      <c r="AB108" s="28"/>
      <c r="AC108" s="48"/>
      <c r="AD108" s="29" t="s">
        <v>178</v>
      </c>
    </row>
    <row r="109" spans="1:30" ht="63.75" x14ac:dyDescent="0.2">
      <c r="A109" s="30">
        <f t="shared" si="3"/>
        <v>3</v>
      </c>
      <c r="B109" s="39" t="s">
        <v>313</v>
      </c>
      <c r="C109" s="39" t="s">
        <v>314</v>
      </c>
      <c r="D109" s="217"/>
      <c r="E109" s="32"/>
      <c r="F109" s="43"/>
      <c r="G109" s="43"/>
      <c r="H109" s="43"/>
      <c r="I109" s="32"/>
      <c r="J109" s="43" t="s">
        <v>45</v>
      </c>
      <c r="K109" s="43"/>
      <c r="L109" s="43"/>
      <c r="M109" s="32"/>
      <c r="N109" s="43"/>
      <c r="O109" s="43"/>
      <c r="P109" s="43"/>
      <c r="Q109" s="32"/>
      <c r="R109" s="43"/>
      <c r="S109" s="43"/>
      <c r="T109" s="43"/>
      <c r="U109" s="32"/>
      <c r="V109" s="39" t="s">
        <v>315</v>
      </c>
      <c r="W109" s="42"/>
      <c r="X109" s="45">
        <v>30000</v>
      </c>
      <c r="Y109" s="45"/>
      <c r="Z109" s="239">
        <v>15189551</v>
      </c>
      <c r="AA109" s="239"/>
      <c r="AB109" s="48"/>
      <c r="AC109" s="48"/>
      <c r="AD109" s="29" t="s">
        <v>178</v>
      </c>
    </row>
    <row r="110" spans="1:30" ht="51" x14ac:dyDescent="0.2">
      <c r="A110" s="30">
        <f t="shared" si="3"/>
        <v>4</v>
      </c>
      <c r="B110" s="39" t="s">
        <v>316</v>
      </c>
      <c r="C110" s="39" t="s">
        <v>317</v>
      </c>
      <c r="D110" s="217"/>
      <c r="E110" s="32"/>
      <c r="F110" s="43"/>
      <c r="G110" s="43"/>
      <c r="H110" s="43"/>
      <c r="I110" s="32"/>
      <c r="J110" s="43"/>
      <c r="K110" s="43"/>
      <c r="L110" s="43"/>
      <c r="M110" s="32"/>
      <c r="N110" s="43"/>
      <c r="O110" s="43" t="s">
        <v>45</v>
      </c>
      <c r="P110" s="43" t="s">
        <v>45</v>
      </c>
      <c r="Q110" s="32"/>
      <c r="R110" s="43"/>
      <c r="S110" s="43"/>
      <c r="T110" s="43"/>
      <c r="U110" s="32"/>
      <c r="V110" s="39" t="s">
        <v>318</v>
      </c>
      <c r="W110" s="42"/>
      <c r="X110" s="45">
        <v>62255</v>
      </c>
      <c r="Y110" s="45"/>
      <c r="Z110" s="239">
        <f>16363624+2712689</f>
        <v>19076313</v>
      </c>
      <c r="AA110" s="239"/>
      <c r="AB110" s="48"/>
      <c r="AC110" s="48"/>
      <c r="AD110" s="29" t="s">
        <v>178</v>
      </c>
    </row>
    <row r="111" spans="1:30" x14ac:dyDescent="0.2">
      <c r="X111" s="233"/>
      <c r="Y111" s="233"/>
      <c r="Z111" s="233"/>
      <c r="AA111" s="233"/>
    </row>
    <row r="112" spans="1:30" x14ac:dyDescent="0.2">
      <c r="X112" s="233">
        <f>SUM(X10:X27,X29:X30,X32:X33,X35,X38:X41,X43:X46,X48,X51:X55,X57:X58,X60:X64,X66:X72,X74:X79,X82:X90,X92:X93,X95:X97,X99,X102:X105,X107:X110)</f>
        <v>1525353</v>
      </c>
      <c r="Y112" s="233"/>
      <c r="Z112" s="233"/>
      <c r="AA112" s="233"/>
    </row>
    <row r="113" spans="24:27" x14ac:dyDescent="0.2">
      <c r="X113" s="233"/>
      <c r="Y113" s="233"/>
      <c r="Z113" s="233"/>
      <c r="AA113" s="233"/>
    </row>
    <row r="114" spans="24:27" x14ac:dyDescent="0.2">
      <c r="X114" s="233"/>
      <c r="Y114" s="233"/>
      <c r="Z114" s="233"/>
      <c r="AA114" s="233"/>
    </row>
  </sheetData>
  <mergeCells count="47">
    <mergeCell ref="E6:E7"/>
    <mergeCell ref="F6:H6"/>
    <mergeCell ref="I6:I7"/>
    <mergeCell ref="G1:AD1"/>
    <mergeCell ref="G2:H2"/>
    <mergeCell ref="E3:AD3"/>
    <mergeCell ref="G4:H4"/>
    <mergeCell ref="I4:AD4"/>
    <mergeCell ref="E5:AD5"/>
    <mergeCell ref="B36:AD36"/>
    <mergeCell ref="V6:V7"/>
    <mergeCell ref="W6:W7"/>
    <mergeCell ref="X6:X7"/>
    <mergeCell ref="AB6:AB7"/>
    <mergeCell ref="AC6:AC7"/>
    <mergeCell ref="AD6:AD7"/>
    <mergeCell ref="J6:L6"/>
    <mergeCell ref="M6:M7"/>
    <mergeCell ref="N6:P6"/>
    <mergeCell ref="Q6:Q7"/>
    <mergeCell ref="R6:T6"/>
    <mergeCell ref="U6:U7"/>
    <mergeCell ref="B6:B7"/>
    <mergeCell ref="C6:C7"/>
    <mergeCell ref="D6:D7"/>
    <mergeCell ref="B8:AD8"/>
    <mergeCell ref="B9:AD9"/>
    <mergeCell ref="B28:AD28"/>
    <mergeCell ref="B31:AD31"/>
    <mergeCell ref="B34:AD34"/>
    <mergeCell ref="B91:AD91"/>
    <mergeCell ref="B37:AD37"/>
    <mergeCell ref="B42:AD42"/>
    <mergeCell ref="B47:AD47"/>
    <mergeCell ref="B49:AD49"/>
    <mergeCell ref="B50:AD50"/>
    <mergeCell ref="B56:AD56"/>
    <mergeCell ref="B59:AD59"/>
    <mergeCell ref="B65:AD65"/>
    <mergeCell ref="B73:AD73"/>
    <mergeCell ref="B80:AD80"/>
    <mergeCell ref="B81:AD81"/>
    <mergeCell ref="B94:AD94"/>
    <mergeCell ref="B98:AD98"/>
    <mergeCell ref="B100:AD100"/>
    <mergeCell ref="B101:AD101"/>
    <mergeCell ref="B106:AD106"/>
  </mergeCells>
  <pageMargins left="0.7" right="0.7" top="0.75" bottom="0.75" header="0.3" footer="0.3"/>
  <pageSetup orientation="portrait" r:id="rId1"/>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U23"/>
  <sheetViews>
    <sheetView workbookViewId="0"/>
  </sheetViews>
  <sheetFormatPr baseColWidth="10" defaultColWidth="11.42578125" defaultRowHeight="15" x14ac:dyDescent="0.25"/>
  <cols>
    <col min="2" max="2" width="2.85546875" customWidth="1"/>
    <col min="3" max="3" width="24.5703125" customWidth="1"/>
    <col min="4" max="4" width="28" customWidth="1"/>
    <col min="5" max="5" width="19.5703125" customWidth="1"/>
    <col min="6" max="6" width="9" bestFit="1" customWidth="1"/>
    <col min="7" max="7" width="0.140625" customWidth="1"/>
    <col min="8" max="8" width="17" hidden="1" customWidth="1"/>
    <col min="9" max="9" width="6.140625" bestFit="1" customWidth="1"/>
    <col min="10" max="11" width="18.85546875" style="2" customWidth="1"/>
    <col min="12" max="12" width="15" style="2" customWidth="1"/>
    <col min="13" max="14" width="15.42578125" bestFit="1" customWidth="1"/>
    <col min="15" max="15" width="14.42578125" bestFit="1" customWidth="1"/>
    <col min="16" max="16" width="15.42578125" bestFit="1" customWidth="1"/>
    <col min="17" max="17" width="16.42578125" bestFit="1" customWidth="1"/>
    <col min="18" max="18" width="12.5703125" bestFit="1" customWidth="1"/>
    <col min="20" max="20" width="14.42578125" bestFit="1" customWidth="1"/>
    <col min="21" max="21" width="11.85546875" bestFit="1" customWidth="1"/>
  </cols>
  <sheetData>
    <row r="2" spans="2:21" x14ac:dyDescent="0.25">
      <c r="C2" s="104" t="s">
        <v>383</v>
      </c>
    </row>
    <row r="4" spans="2:21" x14ac:dyDescent="0.25">
      <c r="B4" s="68"/>
      <c r="C4" s="68" t="s">
        <v>384</v>
      </c>
      <c r="D4" s="68" t="s">
        <v>385</v>
      </c>
      <c r="E4" s="68" t="s">
        <v>386</v>
      </c>
      <c r="F4" s="68">
        <v>2021</v>
      </c>
      <c r="G4" s="68" t="s">
        <v>387</v>
      </c>
      <c r="H4" s="68" t="s">
        <v>388</v>
      </c>
      <c r="I4" s="68" t="s">
        <v>389</v>
      </c>
      <c r="J4" s="102" t="s">
        <v>390</v>
      </c>
      <c r="K4" s="147" t="s">
        <v>391</v>
      </c>
      <c r="L4" s="94" t="s">
        <v>320</v>
      </c>
      <c r="M4" s="145" t="s">
        <v>392</v>
      </c>
      <c r="N4" s="145" t="s">
        <v>393</v>
      </c>
    </row>
    <row r="5" spans="2:21" ht="89.25" x14ac:dyDescent="0.25">
      <c r="B5" s="30">
        <v>1</v>
      </c>
      <c r="C5" s="31" t="s">
        <v>43</v>
      </c>
      <c r="D5" s="31" t="s">
        <v>394</v>
      </c>
      <c r="E5" s="31" t="s">
        <v>46</v>
      </c>
      <c r="F5" s="45">
        <v>2100</v>
      </c>
      <c r="G5" s="64">
        <f>+F5*500</f>
        <v>1050000</v>
      </c>
      <c r="H5" s="64">
        <v>2459844</v>
      </c>
      <c r="I5" s="77">
        <f>+H5/G5</f>
        <v>2.3427085714285716</v>
      </c>
      <c r="J5" s="70">
        <v>8710</v>
      </c>
      <c r="K5" s="190" t="s">
        <v>395</v>
      </c>
      <c r="L5" s="2">
        <f>+J5*500</f>
        <v>4355000</v>
      </c>
      <c r="M5">
        <f>+(103950*1.18*2+57200*1.18)*10+103950*1.18*10</f>
        <v>4354790</v>
      </c>
      <c r="N5" t="s">
        <v>396</v>
      </c>
      <c r="O5">
        <f>+M5/500</f>
        <v>8709.58</v>
      </c>
    </row>
    <row r="6" spans="2:21" ht="25.5" x14ac:dyDescent="0.25">
      <c r="B6" s="30">
        <f>+B5+1</f>
        <v>2</v>
      </c>
      <c r="C6" s="31" t="s">
        <v>48</v>
      </c>
      <c r="D6" s="31" t="s">
        <v>49</v>
      </c>
      <c r="E6" s="31" t="s">
        <v>50</v>
      </c>
      <c r="F6" s="45">
        <v>1700</v>
      </c>
      <c r="G6" s="64">
        <f t="shared" ref="G6:G22" si="0">+F6*500</f>
        <v>850000</v>
      </c>
      <c r="H6" s="64"/>
      <c r="I6" s="77">
        <f t="shared" ref="I6:I22" si="1">+H6/G6</f>
        <v>0</v>
      </c>
      <c r="J6" s="70">
        <v>1000</v>
      </c>
      <c r="K6" s="52"/>
      <c r="L6" s="146">
        <f t="shared" ref="L6:L22" si="2">+J6*500</f>
        <v>500000</v>
      </c>
    </row>
    <row r="7" spans="2:21" ht="76.5" x14ac:dyDescent="0.25">
      <c r="B7" s="30">
        <f t="shared" ref="B7:B22" si="3">+B6+1</f>
        <v>3</v>
      </c>
      <c r="C7" s="31" t="s">
        <v>51</v>
      </c>
      <c r="D7" s="31" t="s">
        <v>397</v>
      </c>
      <c r="E7" s="31" t="s">
        <v>53</v>
      </c>
      <c r="F7" s="45">
        <v>120160</v>
      </c>
      <c r="G7" s="64">
        <f t="shared" si="0"/>
        <v>60080000</v>
      </c>
      <c r="H7" s="64">
        <v>41510502</v>
      </c>
      <c r="I7" s="77">
        <f t="shared" si="1"/>
        <v>0.69092047270306256</v>
      </c>
      <c r="J7" s="70">
        <v>130288</v>
      </c>
      <c r="K7" s="52">
        <f>5428650*12</f>
        <v>65143800</v>
      </c>
      <c r="L7" s="2">
        <f t="shared" si="2"/>
        <v>65144000</v>
      </c>
      <c r="M7">
        <f>+K7/500</f>
        <v>130287.6</v>
      </c>
    </row>
    <row r="8" spans="2:21" ht="26.25" x14ac:dyDescent="0.25">
      <c r="B8" s="30">
        <f t="shared" si="3"/>
        <v>4</v>
      </c>
      <c r="C8" s="31" t="s">
        <v>54</v>
      </c>
      <c r="D8" s="31" t="s">
        <v>398</v>
      </c>
      <c r="E8" s="31" t="s">
        <v>56</v>
      </c>
      <c r="F8" s="45">
        <v>1800</v>
      </c>
      <c r="G8" s="64">
        <f>+F8*500</f>
        <v>900000</v>
      </c>
      <c r="H8" s="64">
        <v>1179768</v>
      </c>
      <c r="I8" s="77">
        <f t="shared" si="1"/>
        <v>1.3108533333333334</v>
      </c>
      <c r="J8" s="70">
        <v>2400</v>
      </c>
      <c r="K8" s="52" t="s">
        <v>399</v>
      </c>
      <c r="L8" s="2">
        <f t="shared" si="2"/>
        <v>1200000</v>
      </c>
    </row>
    <row r="9" spans="2:21" ht="76.5" x14ac:dyDescent="0.25">
      <c r="B9" s="30">
        <f t="shared" si="3"/>
        <v>5</v>
      </c>
      <c r="C9" s="31" t="s">
        <v>57</v>
      </c>
      <c r="D9" s="31" t="s">
        <v>400</v>
      </c>
      <c r="E9" s="31" t="s">
        <v>59</v>
      </c>
      <c r="F9" s="45">
        <v>9000</v>
      </c>
      <c r="G9" s="64">
        <f t="shared" si="0"/>
        <v>4500000</v>
      </c>
      <c r="H9" s="64"/>
      <c r="I9" s="77">
        <f t="shared" si="1"/>
        <v>0</v>
      </c>
      <c r="J9" s="64">
        <v>9000</v>
      </c>
      <c r="K9" s="52" t="s">
        <v>401</v>
      </c>
      <c r="L9" s="2">
        <f t="shared" si="2"/>
        <v>4500000</v>
      </c>
    </row>
    <row r="10" spans="2:21" ht="51.75" x14ac:dyDescent="0.25">
      <c r="B10" s="30">
        <f t="shared" si="3"/>
        <v>6</v>
      </c>
      <c r="C10" s="31" t="s">
        <v>60</v>
      </c>
      <c r="D10" s="31" t="s">
        <v>402</v>
      </c>
      <c r="E10" s="31" t="s">
        <v>403</v>
      </c>
      <c r="F10" s="45">
        <v>7200</v>
      </c>
      <c r="G10" s="64">
        <f t="shared" si="0"/>
        <v>3600000</v>
      </c>
      <c r="H10" s="64">
        <v>3807028</v>
      </c>
      <c r="I10" s="77">
        <f t="shared" si="1"/>
        <v>1.0575077777777777</v>
      </c>
      <c r="J10" s="70">
        <v>28450</v>
      </c>
      <c r="K10" s="52" t="s">
        <v>404</v>
      </c>
      <c r="L10" s="2">
        <v>10625000</v>
      </c>
      <c r="M10" s="93">
        <f>16*600000+375000*3+3500000*1</f>
        <v>14225000</v>
      </c>
      <c r="N10">
        <f>+M10/500</f>
        <v>28450</v>
      </c>
    </row>
    <row r="11" spans="2:21" ht="39" x14ac:dyDescent="0.25">
      <c r="B11" s="30">
        <f t="shared" si="3"/>
        <v>7</v>
      </c>
      <c r="C11" s="31" t="s">
        <v>63</v>
      </c>
      <c r="D11" s="31" t="s">
        <v>64</v>
      </c>
      <c r="E11" s="31" t="s">
        <v>65</v>
      </c>
      <c r="F11" s="45">
        <v>2500</v>
      </c>
      <c r="G11" s="64">
        <f t="shared" si="0"/>
        <v>1250000</v>
      </c>
      <c r="H11" s="64">
        <v>4800000</v>
      </c>
      <c r="I11" s="77">
        <f t="shared" si="1"/>
        <v>3.84</v>
      </c>
      <c r="J11" s="70">
        <v>12600</v>
      </c>
      <c r="K11" s="52" t="s">
        <v>405</v>
      </c>
      <c r="L11" s="2">
        <f t="shared" si="2"/>
        <v>6300000</v>
      </c>
      <c r="M11">
        <v>4800000</v>
      </c>
      <c r="N11">
        <f>+M11/500</f>
        <v>9600</v>
      </c>
      <c r="O11" s="2">
        <f>150000*12+4500000</f>
        <v>6300000</v>
      </c>
      <c r="P11">
        <f>+O11/500</f>
        <v>12600</v>
      </c>
    </row>
    <row r="12" spans="2:21" ht="89.25" x14ac:dyDescent="0.25">
      <c r="B12" s="30">
        <f t="shared" si="3"/>
        <v>8</v>
      </c>
      <c r="C12" s="31" t="s">
        <v>66</v>
      </c>
      <c r="D12" s="31" t="s">
        <v>67</v>
      </c>
      <c r="E12" s="31" t="s">
        <v>68</v>
      </c>
      <c r="F12" s="45">
        <v>2400</v>
      </c>
      <c r="G12" s="64">
        <f t="shared" si="0"/>
        <v>1200000</v>
      </c>
      <c r="H12" s="64">
        <v>1073918</v>
      </c>
      <c r="I12" s="77">
        <f t="shared" si="1"/>
        <v>0.89493166666666668</v>
      </c>
      <c r="J12" s="70">
        <v>2400</v>
      </c>
      <c r="K12" s="52"/>
      <c r="L12" s="2">
        <f t="shared" si="2"/>
        <v>1200000</v>
      </c>
      <c r="M12">
        <v>1200000</v>
      </c>
      <c r="N12">
        <f>+M12/500</f>
        <v>2400</v>
      </c>
    </row>
    <row r="13" spans="2:21" ht="128.25" x14ac:dyDescent="0.25">
      <c r="B13" s="30">
        <f t="shared" si="3"/>
        <v>9</v>
      </c>
      <c r="C13" s="31" t="s">
        <v>69</v>
      </c>
      <c r="D13" s="31" t="s">
        <v>70</v>
      </c>
      <c r="E13" s="31" t="s">
        <v>71</v>
      </c>
      <c r="F13" s="45">
        <v>29121</v>
      </c>
      <c r="G13" s="64">
        <f t="shared" si="0"/>
        <v>14560500</v>
      </c>
      <c r="H13" s="64"/>
      <c r="I13" s="77">
        <f t="shared" si="1"/>
        <v>0</v>
      </c>
      <c r="J13" s="70">
        <v>37746</v>
      </c>
      <c r="K13" s="191" t="s">
        <v>406</v>
      </c>
      <c r="L13" s="2">
        <f t="shared" si="2"/>
        <v>18873000</v>
      </c>
      <c r="P13" s="2">
        <f>160000*13+800000+5200*655.957</f>
        <v>6290976.4000000004</v>
      </c>
      <c r="Q13" s="2">
        <f>+P13*3</f>
        <v>18872929.200000003</v>
      </c>
      <c r="R13" s="2">
        <f>+Q13/500</f>
        <v>37745.858400000005</v>
      </c>
      <c r="S13">
        <f>30*5*40000</f>
        <v>6000000</v>
      </c>
      <c r="T13" s="2">
        <f>70000*5+2500*2*30+7000*30+13*4200+3500*30+2*100000*5+40000*2*5</f>
        <v>2269600</v>
      </c>
    </row>
    <row r="14" spans="2:21" ht="102" x14ac:dyDescent="0.25">
      <c r="B14" s="30">
        <f t="shared" si="3"/>
        <v>10</v>
      </c>
      <c r="C14" s="31" t="s">
        <v>72</v>
      </c>
      <c r="D14" s="31" t="s">
        <v>407</v>
      </c>
      <c r="E14" s="31" t="s">
        <v>408</v>
      </c>
      <c r="F14" s="45">
        <v>1875</v>
      </c>
      <c r="G14" s="64">
        <f t="shared" si="0"/>
        <v>937500</v>
      </c>
      <c r="H14" s="64">
        <v>450000</v>
      </c>
      <c r="I14" s="77">
        <f t="shared" si="1"/>
        <v>0.48</v>
      </c>
      <c r="J14" s="70">
        <v>2700</v>
      </c>
      <c r="K14" s="192" t="s">
        <v>409</v>
      </c>
      <c r="L14" s="2">
        <f t="shared" si="2"/>
        <v>1350000</v>
      </c>
      <c r="M14">
        <f>225000*4</f>
        <v>900000</v>
      </c>
      <c r="N14">
        <f>+M14/500</f>
        <v>1800</v>
      </c>
      <c r="O14">
        <f>1350000/500</f>
        <v>2700</v>
      </c>
      <c r="P14">
        <f>225000*4+450000</f>
        <v>1350000</v>
      </c>
      <c r="T14" s="3">
        <f>+S13+T13+P13</f>
        <v>14560576.4</v>
      </c>
      <c r="U14" s="2">
        <f>+T14/500</f>
        <v>29121.1528</v>
      </c>
    </row>
    <row r="15" spans="2:21" ht="26.25" x14ac:dyDescent="0.25">
      <c r="B15" s="30">
        <f t="shared" si="3"/>
        <v>11</v>
      </c>
      <c r="C15" s="31" t="s">
        <v>75</v>
      </c>
      <c r="D15" s="31" t="s">
        <v>76</v>
      </c>
      <c r="E15" s="31" t="s">
        <v>77</v>
      </c>
      <c r="F15" s="45">
        <v>1000</v>
      </c>
      <c r="G15" s="64">
        <f t="shared" si="0"/>
        <v>500000</v>
      </c>
      <c r="H15" s="64">
        <v>182250</v>
      </c>
      <c r="I15" s="77">
        <f t="shared" si="1"/>
        <v>0.36449999999999999</v>
      </c>
      <c r="J15" s="70">
        <v>365</v>
      </c>
      <c r="K15" s="52" t="s">
        <v>410</v>
      </c>
      <c r="L15" s="2">
        <f t="shared" si="2"/>
        <v>182500</v>
      </c>
      <c r="M15" s="2">
        <f>182250/500</f>
        <v>364.5</v>
      </c>
    </row>
    <row r="16" spans="2:21" ht="51" x14ac:dyDescent="0.25">
      <c r="B16" s="30">
        <f t="shared" si="3"/>
        <v>12</v>
      </c>
      <c r="C16" s="31" t="s">
        <v>78</v>
      </c>
      <c r="D16" s="31" t="s">
        <v>79</v>
      </c>
      <c r="E16" s="31" t="s">
        <v>80</v>
      </c>
      <c r="F16" s="45">
        <v>15000</v>
      </c>
      <c r="G16" s="64">
        <f t="shared" si="0"/>
        <v>7500000</v>
      </c>
      <c r="H16" s="64">
        <v>8183042</v>
      </c>
      <c r="I16" s="77">
        <f t="shared" si="1"/>
        <v>1.0910722666666666</v>
      </c>
      <c r="J16" s="70">
        <v>28978</v>
      </c>
      <c r="K16" s="52" t="s">
        <v>411</v>
      </c>
      <c r="L16" s="2">
        <f t="shared" si="2"/>
        <v>14489000</v>
      </c>
      <c r="M16" s="2">
        <f>675000*12+100000*12*2+50000*12+3388940</f>
        <v>14488940</v>
      </c>
      <c r="N16" s="2">
        <f>+M16/500</f>
        <v>28977.88</v>
      </c>
    </row>
    <row r="17" spans="2:14" ht="38.25" x14ac:dyDescent="0.25">
      <c r="B17" s="30">
        <f t="shared" si="3"/>
        <v>13</v>
      </c>
      <c r="C17" s="31" t="s">
        <v>81</v>
      </c>
      <c r="D17" s="31" t="s">
        <v>82</v>
      </c>
      <c r="E17" s="31" t="s">
        <v>412</v>
      </c>
      <c r="F17" s="45">
        <v>7992</v>
      </c>
      <c r="G17" s="64">
        <f t="shared" si="0"/>
        <v>3996000</v>
      </c>
      <c r="H17" s="64">
        <v>2565000</v>
      </c>
      <c r="I17" s="77">
        <f t="shared" si="1"/>
        <v>0.64189189189189189</v>
      </c>
      <c r="J17" s="70">
        <v>10272</v>
      </c>
      <c r="K17" s="52"/>
      <c r="L17" s="2">
        <f t="shared" si="2"/>
        <v>5136000</v>
      </c>
      <c r="M17" s="2">
        <f>428000*12</f>
        <v>5136000</v>
      </c>
      <c r="N17">
        <f>+M17/500</f>
        <v>10272</v>
      </c>
    </row>
    <row r="18" spans="2:14" ht="51" x14ac:dyDescent="0.25">
      <c r="B18" s="30">
        <f t="shared" si="3"/>
        <v>14</v>
      </c>
      <c r="C18" s="31" t="s">
        <v>84</v>
      </c>
      <c r="D18" s="31" t="s">
        <v>85</v>
      </c>
      <c r="E18" s="31" t="s">
        <v>86</v>
      </c>
      <c r="F18" s="45">
        <v>16875</v>
      </c>
      <c r="G18" s="64">
        <f t="shared" si="0"/>
        <v>8437500</v>
      </c>
      <c r="H18" s="64">
        <v>2785000</v>
      </c>
      <c r="I18" s="77">
        <f t="shared" si="1"/>
        <v>0.33007407407407408</v>
      </c>
      <c r="J18" s="70">
        <v>12656</v>
      </c>
      <c r="K18" s="52" t="s">
        <v>413</v>
      </c>
      <c r="L18" s="2">
        <f t="shared" si="2"/>
        <v>6328000</v>
      </c>
      <c r="M18" s="2">
        <f>+J18*0.75</f>
        <v>9492</v>
      </c>
    </row>
    <row r="19" spans="2:14" ht="38.25" x14ac:dyDescent="0.25">
      <c r="B19" s="30">
        <f t="shared" si="3"/>
        <v>15</v>
      </c>
      <c r="C19" s="31" t="s">
        <v>414</v>
      </c>
      <c r="D19" s="31" t="s">
        <v>88</v>
      </c>
      <c r="E19" s="31" t="s">
        <v>89</v>
      </c>
      <c r="F19" s="45">
        <v>4500</v>
      </c>
      <c r="G19" s="64">
        <f t="shared" si="0"/>
        <v>2250000</v>
      </c>
      <c r="H19" s="64"/>
      <c r="I19" s="77">
        <f t="shared" si="1"/>
        <v>0</v>
      </c>
      <c r="J19" s="70">
        <v>5600</v>
      </c>
      <c r="K19" s="52"/>
      <c r="L19" s="2">
        <f t="shared" si="2"/>
        <v>2800000</v>
      </c>
      <c r="M19">
        <v>2774770</v>
      </c>
      <c r="N19">
        <f>+M19/500</f>
        <v>5549.54</v>
      </c>
    </row>
    <row r="20" spans="2:14" ht="51" x14ac:dyDescent="0.25">
      <c r="B20" s="30">
        <f t="shared" si="3"/>
        <v>16</v>
      </c>
      <c r="C20" s="31" t="s">
        <v>90</v>
      </c>
      <c r="D20" s="31" t="s">
        <v>91</v>
      </c>
      <c r="E20" s="31" t="s">
        <v>415</v>
      </c>
      <c r="F20" s="45">
        <f>22000*0.75</f>
        <v>16500</v>
      </c>
      <c r="G20" s="64">
        <f t="shared" si="0"/>
        <v>8250000</v>
      </c>
      <c r="H20" s="64">
        <v>5306886</v>
      </c>
      <c r="I20" s="77">
        <f t="shared" si="1"/>
        <v>0.6432589090909091</v>
      </c>
      <c r="J20" s="70">
        <v>15800</v>
      </c>
      <c r="K20" s="52"/>
      <c r="L20" s="2">
        <f t="shared" si="2"/>
        <v>7900000</v>
      </c>
      <c r="M20">
        <v>7900000</v>
      </c>
      <c r="N20">
        <f>+M20/500</f>
        <v>15800</v>
      </c>
    </row>
    <row r="21" spans="2:14" ht="38.25" x14ac:dyDescent="0.25">
      <c r="B21" s="30">
        <f t="shared" si="3"/>
        <v>17</v>
      </c>
      <c r="C21" s="31" t="s">
        <v>93</v>
      </c>
      <c r="D21" s="31" t="s">
        <v>94</v>
      </c>
      <c r="E21" s="31" t="s">
        <v>95</v>
      </c>
      <c r="F21" s="45">
        <v>7000</v>
      </c>
      <c r="G21" s="64">
        <f t="shared" si="0"/>
        <v>3500000</v>
      </c>
      <c r="H21" s="64">
        <v>2118940</v>
      </c>
      <c r="I21" s="77">
        <f t="shared" si="1"/>
        <v>0.6054114285714286</v>
      </c>
      <c r="J21" s="70">
        <v>7000</v>
      </c>
      <c r="K21" s="52" t="s">
        <v>401</v>
      </c>
      <c r="L21" s="2">
        <f t="shared" si="2"/>
        <v>3500000</v>
      </c>
      <c r="M21">
        <f>200000*8</f>
        <v>1600000</v>
      </c>
      <c r="N21">
        <f>+M21/500</f>
        <v>3200</v>
      </c>
    </row>
    <row r="22" spans="2:14" ht="51" x14ac:dyDescent="0.25">
      <c r="B22" s="30">
        <f t="shared" si="3"/>
        <v>18</v>
      </c>
      <c r="C22" s="31" t="s">
        <v>96</v>
      </c>
      <c r="D22" s="31" t="s">
        <v>97</v>
      </c>
      <c r="E22" s="31" t="s">
        <v>98</v>
      </c>
      <c r="F22" s="45" t="s">
        <v>416</v>
      </c>
      <c r="G22" s="64" t="e">
        <f t="shared" si="0"/>
        <v>#VALUE!</v>
      </c>
      <c r="H22" s="64">
        <v>904744</v>
      </c>
      <c r="I22" s="77" t="e">
        <f t="shared" si="1"/>
        <v>#VALUE!</v>
      </c>
      <c r="J22" s="70">
        <v>2400</v>
      </c>
      <c r="K22" s="52"/>
      <c r="L22" s="2">
        <f t="shared" si="2"/>
        <v>1200000</v>
      </c>
      <c r="M22" s="3">
        <v>1200000</v>
      </c>
      <c r="N22">
        <f>+M22/500</f>
        <v>2400</v>
      </c>
    </row>
    <row r="23" spans="2:14" x14ac:dyDescent="0.25">
      <c r="B23" s="68"/>
      <c r="C23" s="68" t="s">
        <v>7</v>
      </c>
      <c r="D23" s="68"/>
      <c r="E23" s="68"/>
      <c r="F23" s="68"/>
      <c r="G23" s="68"/>
      <c r="H23" s="68"/>
      <c r="I23" s="68"/>
      <c r="J23" s="96">
        <f>SUM(J5:J22)</f>
        <v>318365</v>
      </c>
      <c r="K23" s="193"/>
    </row>
  </sheetData>
  <pageMargins left="0.7" right="0.7" top="0.75" bottom="0.75" header="0.3" footer="0.3"/>
  <legacy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2:M7"/>
  <sheetViews>
    <sheetView workbookViewId="0"/>
  </sheetViews>
  <sheetFormatPr baseColWidth="10" defaultColWidth="11.42578125" defaultRowHeight="15" x14ac:dyDescent="0.25"/>
  <cols>
    <col min="2" max="2" width="5.42578125" customWidth="1"/>
    <col min="3" max="3" width="24.42578125" customWidth="1"/>
    <col min="4" max="4" width="17.42578125" customWidth="1"/>
    <col min="5" max="5" width="25" customWidth="1"/>
    <col min="6" max="6" width="11.85546875" bestFit="1" customWidth="1"/>
    <col min="7" max="7" width="17.85546875" customWidth="1"/>
    <col min="8" max="8" width="23.5703125" hidden="1" customWidth="1"/>
    <col min="9" max="9" width="14.5703125" customWidth="1"/>
    <col min="10" max="10" width="19.5703125" style="2" customWidth="1"/>
    <col min="13" max="13" width="12" bestFit="1" customWidth="1"/>
  </cols>
  <sheetData>
    <row r="2" spans="2:13" ht="18.75" x14ac:dyDescent="0.3">
      <c r="B2" s="110"/>
      <c r="C2" s="110" t="s">
        <v>99</v>
      </c>
      <c r="D2" s="110"/>
      <c r="E2" s="110"/>
      <c r="F2" s="110"/>
      <c r="G2" s="110"/>
      <c r="H2" s="110"/>
      <c r="I2" s="110"/>
      <c r="J2" s="137"/>
    </row>
    <row r="3" spans="2:13" ht="18.75" x14ac:dyDescent="0.3">
      <c r="B3" s="110"/>
      <c r="C3" s="110"/>
      <c r="D3" s="110"/>
      <c r="E3" s="110"/>
      <c r="F3" s="110"/>
      <c r="G3" s="110"/>
      <c r="H3" s="110"/>
      <c r="I3" s="110"/>
      <c r="J3" s="137"/>
    </row>
    <row r="4" spans="2:13" ht="18.75" x14ac:dyDescent="0.3">
      <c r="B4" s="89"/>
      <c r="C4" s="89" t="s">
        <v>384</v>
      </c>
      <c r="D4" s="89" t="s">
        <v>385</v>
      </c>
      <c r="E4" s="89" t="s">
        <v>386</v>
      </c>
      <c r="F4" s="89"/>
      <c r="G4" s="89" t="s">
        <v>387</v>
      </c>
      <c r="H4" s="89" t="s">
        <v>388</v>
      </c>
      <c r="I4" s="89" t="s">
        <v>389</v>
      </c>
      <c r="J4" s="138" t="s">
        <v>417</v>
      </c>
    </row>
    <row r="5" spans="2:13" ht="126" x14ac:dyDescent="0.25">
      <c r="B5" s="139">
        <f>+B4+1</f>
        <v>1</v>
      </c>
      <c r="C5" s="140" t="s">
        <v>100</v>
      </c>
      <c r="D5" s="140" t="s">
        <v>101</v>
      </c>
      <c r="E5" s="140" t="s">
        <v>102</v>
      </c>
      <c r="F5" s="141">
        <v>10000</v>
      </c>
      <c r="G5" s="142">
        <f>F5*500</f>
        <v>5000000</v>
      </c>
      <c r="H5" s="142">
        <v>4168500</v>
      </c>
      <c r="I5" s="143">
        <f>+H5/G5</f>
        <v>0.8337</v>
      </c>
      <c r="J5" s="144">
        <v>8422</v>
      </c>
      <c r="K5">
        <f>+J5*500</f>
        <v>4211000</v>
      </c>
      <c r="L5">
        <f>3060000*1.18+600000</f>
        <v>4210800</v>
      </c>
      <c r="M5" s="2">
        <f>+L5/500</f>
        <v>8421.6</v>
      </c>
    </row>
    <row r="6" spans="2:13" ht="198" x14ac:dyDescent="0.25">
      <c r="B6" s="139">
        <f>+B5+1</f>
        <v>2</v>
      </c>
      <c r="C6" s="140" t="s">
        <v>104</v>
      </c>
      <c r="D6" s="140" t="s">
        <v>105</v>
      </c>
      <c r="E6" s="140" t="s">
        <v>106</v>
      </c>
      <c r="F6" s="141">
        <v>40000</v>
      </c>
      <c r="G6" s="142">
        <f>F6*500</f>
        <v>20000000</v>
      </c>
      <c r="H6" s="142">
        <v>24340537</v>
      </c>
      <c r="I6" s="143">
        <f>+H6/G6</f>
        <v>1.2170268500000001</v>
      </c>
      <c r="J6" s="144">
        <v>2595</v>
      </c>
      <c r="K6">
        <f>+J6*500</f>
        <v>1297500</v>
      </c>
      <c r="L6">
        <v>1297419</v>
      </c>
      <c r="M6" s="2">
        <f>+L6/500</f>
        <v>2594.8380000000002</v>
      </c>
    </row>
    <row r="7" spans="2:13" ht="18.75" x14ac:dyDescent="0.3">
      <c r="B7" s="89"/>
      <c r="C7" s="89" t="s">
        <v>7</v>
      </c>
      <c r="D7" s="89"/>
      <c r="E7" s="89"/>
      <c r="F7" s="89"/>
      <c r="G7" s="89"/>
      <c r="H7" s="89"/>
      <c r="I7" s="89"/>
      <c r="J7" s="138">
        <f>SUM(J5:J6)</f>
        <v>11017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2:M9"/>
  <sheetViews>
    <sheetView workbookViewId="0"/>
  </sheetViews>
  <sheetFormatPr baseColWidth="10" defaultColWidth="11.42578125" defaultRowHeight="15" x14ac:dyDescent="0.25"/>
  <cols>
    <col min="2" max="2" width="4.5703125" customWidth="1"/>
    <col min="3" max="3" width="19.42578125" customWidth="1"/>
    <col min="4" max="4" width="17.85546875" customWidth="1"/>
    <col min="5" max="5" width="15.140625" customWidth="1"/>
    <col min="7" max="7" width="12.85546875" customWidth="1"/>
    <col min="8" max="8" width="13.5703125" hidden="1" customWidth="1"/>
    <col min="10" max="11" width="14" style="128" customWidth="1"/>
    <col min="12" max="12" width="15.140625" bestFit="1" customWidth="1"/>
  </cols>
  <sheetData>
    <row r="2" spans="2:13" x14ac:dyDescent="0.25">
      <c r="C2" t="s">
        <v>107</v>
      </c>
    </row>
    <row r="4" spans="2:13" x14ac:dyDescent="0.25">
      <c r="B4" s="68"/>
      <c r="C4" s="68" t="s">
        <v>384</v>
      </c>
      <c r="D4" s="68" t="s">
        <v>385</v>
      </c>
      <c r="E4" s="68" t="s">
        <v>386</v>
      </c>
      <c r="F4" s="68"/>
      <c r="G4" s="68" t="s">
        <v>387</v>
      </c>
      <c r="H4" s="68" t="s">
        <v>388</v>
      </c>
      <c r="I4" s="68" t="s">
        <v>389</v>
      </c>
      <c r="J4" s="105" t="s">
        <v>417</v>
      </c>
      <c r="K4" s="153" t="s">
        <v>391</v>
      </c>
    </row>
    <row r="5" spans="2:13" s="107" customFormat="1" ht="140.25" x14ac:dyDescent="0.25">
      <c r="B5" s="30">
        <f>+B4+1</f>
        <v>1</v>
      </c>
      <c r="C5" s="31" t="s">
        <v>418</v>
      </c>
      <c r="D5" s="194" t="s">
        <v>419</v>
      </c>
      <c r="E5" s="31" t="s">
        <v>110</v>
      </c>
      <c r="F5" s="149">
        <v>500</v>
      </c>
      <c r="G5" s="150">
        <f>F5*500</f>
        <v>250000</v>
      </c>
      <c r="H5" s="150"/>
      <c r="I5" s="151">
        <f>+H5/G5</f>
        <v>0</v>
      </c>
      <c r="J5" s="152">
        <v>500</v>
      </c>
      <c r="K5" s="154"/>
      <c r="L5" s="195">
        <f>+J5*500</f>
        <v>250000</v>
      </c>
    </row>
    <row r="6" spans="2:13" s="107" customFormat="1" ht="89.25" x14ac:dyDescent="0.25">
      <c r="B6" s="30">
        <f>+B5+1</f>
        <v>2</v>
      </c>
      <c r="C6" s="31" t="s">
        <v>112</v>
      </c>
      <c r="D6" s="31" t="s">
        <v>420</v>
      </c>
      <c r="E6" s="31" t="s">
        <v>421</v>
      </c>
      <c r="F6" s="35">
        <v>5750</v>
      </c>
      <c r="G6" s="150">
        <f>F6*500</f>
        <v>2875000</v>
      </c>
      <c r="H6" s="150">
        <v>4846899</v>
      </c>
      <c r="I6" s="151">
        <f>+H6/G6</f>
        <v>1.6858779130434782</v>
      </c>
      <c r="J6" s="152">
        <v>20000</v>
      </c>
      <c r="K6" s="154" t="s">
        <v>422</v>
      </c>
      <c r="L6" s="108">
        <f>+J6*500</f>
        <v>10000000</v>
      </c>
      <c r="M6" s="107">
        <f>+F6*1.69</f>
        <v>9717.5</v>
      </c>
    </row>
    <row r="7" spans="2:13" x14ac:dyDescent="0.25">
      <c r="B7" s="68"/>
      <c r="C7" s="68" t="s">
        <v>7</v>
      </c>
      <c r="D7" s="68"/>
      <c r="E7" s="68"/>
      <c r="F7" s="68"/>
      <c r="G7" s="68"/>
      <c r="H7" s="68"/>
      <c r="I7" s="68"/>
      <c r="J7" s="105">
        <f>SUM(J5:J6)</f>
        <v>20500</v>
      </c>
      <c r="K7" s="153"/>
      <c r="L7" s="2">
        <f>+J7*500</f>
        <v>10250000</v>
      </c>
    </row>
    <row r="9" spans="2:13" x14ac:dyDescent="0.25">
      <c r="G9">
        <f>+F6*1.7</f>
        <v>9775</v>
      </c>
    </row>
  </sheetData>
  <pageMargins left="0.7" right="0.7" top="0.75" bottom="0.75" header="0.3" footer="0.3"/>
  <pageSetup paperSize="9" orientation="portrait" r:id="rId1"/>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2:J6"/>
  <sheetViews>
    <sheetView workbookViewId="0"/>
  </sheetViews>
  <sheetFormatPr baseColWidth="10" defaultColWidth="11.42578125" defaultRowHeight="15" x14ac:dyDescent="0.25"/>
  <cols>
    <col min="6" max="6" width="16" customWidth="1"/>
    <col min="9" max="9" width="11.42578125" style="2"/>
  </cols>
  <sheetData>
    <row r="2" spans="2:10" x14ac:dyDescent="0.25">
      <c r="B2" t="s">
        <v>115</v>
      </c>
    </row>
    <row r="4" spans="2:10" x14ac:dyDescent="0.25">
      <c r="B4" s="60" t="s">
        <v>384</v>
      </c>
      <c r="C4" s="60" t="s">
        <v>385</v>
      </c>
      <c r="D4" s="60" t="s">
        <v>386</v>
      </c>
      <c r="E4" s="60"/>
      <c r="F4" s="60" t="s">
        <v>387</v>
      </c>
      <c r="G4" s="60" t="s">
        <v>388</v>
      </c>
      <c r="H4" s="60" t="s">
        <v>389</v>
      </c>
      <c r="I4" s="99" t="s">
        <v>417</v>
      </c>
    </row>
    <row r="5" spans="2:10" ht="128.25" x14ac:dyDescent="0.25">
      <c r="B5" s="31" t="s">
        <v>116</v>
      </c>
      <c r="C5" s="29" t="s">
        <v>117</v>
      </c>
      <c r="D5" s="29" t="s">
        <v>119</v>
      </c>
      <c r="E5" s="33">
        <v>3500</v>
      </c>
      <c r="F5" s="70">
        <f>E5*500</f>
        <v>1750000</v>
      </c>
      <c r="G5" s="70">
        <v>807000</v>
      </c>
      <c r="H5" s="65">
        <f>+G5/F5</f>
        <v>0.46114285714285713</v>
      </c>
      <c r="I5" s="148">
        <v>1750</v>
      </c>
      <c r="J5" s="1" t="s">
        <v>423</v>
      </c>
    </row>
    <row r="6" spans="2:10" x14ac:dyDescent="0.25">
      <c r="B6" s="60" t="s">
        <v>7</v>
      </c>
      <c r="C6" s="60"/>
      <c r="D6" s="60"/>
      <c r="E6" s="60"/>
      <c r="F6" s="60"/>
      <c r="G6" s="60"/>
      <c r="H6" s="60"/>
      <c r="I6" s="99">
        <f>SUM(I5)</f>
        <v>1750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E7"/>
  <sheetViews>
    <sheetView workbookViewId="0"/>
  </sheetViews>
  <sheetFormatPr baseColWidth="10" defaultColWidth="11.42578125" defaultRowHeight="15" x14ac:dyDescent="0.25"/>
  <cols>
    <col min="2" max="2" width="39.5703125" customWidth="1"/>
    <col min="3" max="3" width="20" customWidth="1"/>
    <col min="4" max="4" width="17" customWidth="1"/>
  </cols>
  <sheetData>
    <row r="1" spans="1:31" x14ac:dyDescent="0.25">
      <c r="B1" t="s">
        <v>424</v>
      </c>
    </row>
    <row r="3" spans="1:31" ht="16.5" x14ac:dyDescent="0.3">
      <c r="A3" s="60"/>
      <c r="B3" s="60"/>
      <c r="C3" s="86" t="s">
        <v>372</v>
      </c>
      <c r="D3" s="86" t="s">
        <v>373</v>
      </c>
      <c r="E3" s="86" t="s">
        <v>374</v>
      </c>
    </row>
    <row r="4" spans="1:31" ht="37.5" x14ac:dyDescent="0.3">
      <c r="A4" s="87" t="s">
        <v>425</v>
      </c>
      <c r="B4" s="88" t="s">
        <v>426</v>
      </c>
      <c r="C4" s="127">
        <f>+'C2A'!I9</f>
        <v>15500</v>
      </c>
      <c r="D4" s="28"/>
      <c r="E4" s="28"/>
      <c r="F4" s="22"/>
      <c r="G4" s="18"/>
      <c r="H4" s="18"/>
      <c r="I4" s="18"/>
      <c r="J4" s="18"/>
      <c r="K4" s="18"/>
      <c r="L4" s="18"/>
      <c r="M4" s="18"/>
      <c r="N4" s="18"/>
      <c r="O4" s="18"/>
      <c r="P4" s="18"/>
      <c r="Q4" s="18"/>
      <c r="R4" s="18"/>
      <c r="S4" s="18"/>
      <c r="T4" s="18"/>
      <c r="U4" s="18"/>
      <c r="V4" s="18"/>
      <c r="W4" s="18"/>
      <c r="X4" s="18"/>
      <c r="Y4" s="18"/>
      <c r="Z4" s="18"/>
      <c r="AA4" s="18"/>
      <c r="AB4" s="18"/>
      <c r="AC4" s="18"/>
      <c r="AD4" s="18"/>
      <c r="AE4" s="18"/>
    </row>
    <row r="5" spans="1:31" ht="37.5" x14ac:dyDescent="0.3">
      <c r="A5" s="87" t="s">
        <v>427</v>
      </c>
      <c r="B5" s="88" t="s">
        <v>428</v>
      </c>
      <c r="C5" s="127">
        <f>+'C2B'!I8</f>
        <v>167140</v>
      </c>
      <c r="D5" s="28"/>
      <c r="E5" s="28"/>
      <c r="F5" s="22"/>
      <c r="G5" s="18"/>
      <c r="H5" s="18"/>
      <c r="I5" s="18"/>
      <c r="J5" s="18"/>
      <c r="K5" s="18"/>
      <c r="L5" s="18"/>
      <c r="M5" s="18"/>
      <c r="N5" s="18"/>
      <c r="O5" s="18"/>
      <c r="P5" s="18"/>
      <c r="Q5" s="18"/>
      <c r="R5" s="18"/>
      <c r="S5" s="18"/>
      <c r="T5" s="18"/>
      <c r="U5" s="18"/>
      <c r="V5" s="18"/>
      <c r="W5" s="18"/>
      <c r="X5" s="18"/>
      <c r="Y5" s="18"/>
      <c r="Z5" s="18"/>
      <c r="AA5" s="18"/>
      <c r="AB5" s="18"/>
      <c r="AC5" s="18"/>
      <c r="AD5" s="18"/>
      <c r="AE5" s="18"/>
    </row>
    <row r="6" spans="1:31" ht="18.75" x14ac:dyDescent="0.3">
      <c r="A6" s="87" t="s">
        <v>429</v>
      </c>
      <c r="B6" s="88" t="s">
        <v>430</v>
      </c>
      <c r="C6" s="127">
        <f>+'C2C'!J6</f>
        <v>20000</v>
      </c>
      <c r="D6" s="28"/>
      <c r="E6" s="28"/>
      <c r="F6" s="22"/>
      <c r="G6" s="18"/>
      <c r="H6" s="18"/>
      <c r="I6" s="18"/>
      <c r="J6" s="18"/>
      <c r="K6" s="18"/>
      <c r="L6" s="18"/>
      <c r="M6" s="18"/>
      <c r="N6" s="18"/>
      <c r="O6" s="18"/>
      <c r="P6" s="18"/>
      <c r="Q6" s="18"/>
      <c r="R6" s="18"/>
      <c r="S6" s="18"/>
      <c r="T6" s="18"/>
      <c r="U6" s="18"/>
      <c r="V6" s="18"/>
      <c r="W6" s="18"/>
      <c r="X6" s="18"/>
      <c r="Y6" s="18"/>
      <c r="Z6" s="18"/>
      <c r="AA6" s="18"/>
      <c r="AB6" s="18"/>
      <c r="AC6" s="18"/>
      <c r="AD6" s="18"/>
      <c r="AE6" s="18"/>
    </row>
    <row r="7" spans="1:31" ht="18.75" x14ac:dyDescent="0.3">
      <c r="A7" s="98"/>
      <c r="B7" s="98" t="s">
        <v>7</v>
      </c>
      <c r="C7" s="155">
        <f>SUM(C4:C6)</f>
        <v>202640</v>
      </c>
      <c r="D7" s="98"/>
      <c r="E7" s="60"/>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2:AG9"/>
  <sheetViews>
    <sheetView workbookViewId="0"/>
  </sheetViews>
  <sheetFormatPr baseColWidth="10" defaultColWidth="11.42578125" defaultRowHeight="15" x14ac:dyDescent="0.25"/>
  <cols>
    <col min="1" max="1" width="4.42578125" customWidth="1"/>
    <col min="2" max="2" width="28.42578125" customWidth="1"/>
    <col min="3" max="3" width="24.42578125" style="61" customWidth="1"/>
    <col min="6" max="6" width="14.140625" customWidth="1"/>
    <col min="7" max="7" width="0.140625" customWidth="1"/>
    <col min="9" max="11" width="15.140625" customWidth="1"/>
    <col min="12" max="12" width="14.42578125" bestFit="1" customWidth="1"/>
  </cols>
  <sheetData>
    <row r="2" spans="1:33" x14ac:dyDescent="0.25">
      <c r="B2" t="s">
        <v>431</v>
      </c>
    </row>
    <row r="4" spans="1:33" x14ac:dyDescent="0.25">
      <c r="A4" s="60"/>
      <c r="B4" s="60" t="s">
        <v>384</v>
      </c>
      <c r="C4" s="73" t="s">
        <v>385</v>
      </c>
      <c r="D4" s="60" t="s">
        <v>386</v>
      </c>
      <c r="E4" s="60"/>
      <c r="F4" s="60" t="s">
        <v>387</v>
      </c>
      <c r="G4" s="60" t="s">
        <v>388</v>
      </c>
      <c r="H4" s="60" t="s">
        <v>389</v>
      </c>
      <c r="I4" s="99" t="s">
        <v>417</v>
      </c>
      <c r="J4" s="156" t="s">
        <v>432</v>
      </c>
      <c r="K4" s="156" t="s">
        <v>433</v>
      </c>
    </row>
    <row r="5" spans="1:33" ht="51" x14ac:dyDescent="0.25">
      <c r="A5" s="60">
        <v>1</v>
      </c>
      <c r="B5" s="31" t="s">
        <v>123</v>
      </c>
      <c r="C5" s="31" t="s">
        <v>434</v>
      </c>
      <c r="D5" s="31" t="s">
        <v>126</v>
      </c>
      <c r="E5" s="37">
        <v>5000</v>
      </c>
      <c r="F5" s="70">
        <f>E5*500</f>
        <v>2500000</v>
      </c>
      <c r="G5" s="70"/>
      <c r="H5" s="65">
        <f>+G5/F5</f>
        <v>0</v>
      </c>
      <c r="I5" s="158">
        <v>2500</v>
      </c>
      <c r="J5" s="157"/>
      <c r="K5" s="157"/>
      <c r="L5" s="2">
        <f>+I5*500</f>
        <v>1250000</v>
      </c>
    </row>
    <row r="6" spans="1:33" ht="127.5" x14ac:dyDescent="0.25">
      <c r="A6" s="73">
        <v>2</v>
      </c>
      <c r="B6" s="31" t="s">
        <v>128</v>
      </c>
      <c r="C6" s="31" t="s">
        <v>435</v>
      </c>
      <c r="D6" s="31" t="s">
        <v>126</v>
      </c>
      <c r="E6" s="37">
        <v>5000</v>
      </c>
      <c r="F6" s="70">
        <f>E6*500</f>
        <v>2500000</v>
      </c>
      <c r="G6" s="70"/>
      <c r="H6" s="65">
        <f>+G6/F6</f>
        <v>0</v>
      </c>
      <c r="I6" s="158">
        <v>2500</v>
      </c>
      <c r="J6" s="157"/>
      <c r="K6" s="157"/>
      <c r="L6" s="2">
        <f>+I6*500</f>
        <v>1250000</v>
      </c>
      <c r="M6" s="58"/>
      <c r="N6" s="58"/>
      <c r="O6" s="58"/>
      <c r="P6" s="58"/>
      <c r="Q6" s="58"/>
      <c r="R6" s="58"/>
      <c r="S6" s="58"/>
      <c r="T6" s="58"/>
      <c r="U6" s="58"/>
      <c r="V6" s="58"/>
      <c r="W6" s="58"/>
      <c r="X6" s="58"/>
      <c r="Y6" s="58"/>
      <c r="Z6" s="58"/>
      <c r="AA6" s="58"/>
      <c r="AB6" s="58"/>
      <c r="AC6" s="58"/>
      <c r="AD6" s="58"/>
      <c r="AE6" s="58"/>
      <c r="AF6" s="58"/>
      <c r="AG6" s="58"/>
    </row>
    <row r="7" spans="1:33" ht="102" x14ac:dyDescent="0.25">
      <c r="A7" s="73">
        <v>3</v>
      </c>
      <c r="B7" s="31" t="s">
        <v>130</v>
      </c>
      <c r="C7" s="31" t="s">
        <v>131</v>
      </c>
      <c r="D7" s="31" t="s">
        <v>126</v>
      </c>
      <c r="E7" s="37">
        <v>7500</v>
      </c>
      <c r="F7" s="70">
        <f>E7*500</f>
        <v>3750000</v>
      </c>
      <c r="G7" s="70"/>
      <c r="H7" s="65">
        <f>+G7/F7</f>
        <v>0</v>
      </c>
      <c r="I7" s="158">
        <v>7500</v>
      </c>
      <c r="J7" s="157"/>
      <c r="K7" s="157"/>
      <c r="L7" s="2">
        <f>+I7*500</f>
        <v>3750000</v>
      </c>
      <c r="M7" s="58"/>
      <c r="N7" s="58"/>
      <c r="O7" s="58"/>
      <c r="P7" s="58"/>
      <c r="Q7" s="58"/>
      <c r="R7" s="58"/>
      <c r="S7" s="58"/>
      <c r="T7" s="58"/>
      <c r="U7" s="58"/>
      <c r="V7" s="58"/>
      <c r="W7" s="58"/>
      <c r="X7" s="58"/>
      <c r="Y7" s="58"/>
      <c r="Z7" s="58"/>
      <c r="AA7" s="58"/>
      <c r="AB7" s="58"/>
      <c r="AC7" s="58"/>
      <c r="AD7" s="58"/>
      <c r="AE7" s="58"/>
      <c r="AF7" s="58"/>
      <c r="AG7" s="58"/>
    </row>
    <row r="8" spans="1:33" ht="89.25" x14ac:dyDescent="0.25">
      <c r="A8" s="73">
        <v>4</v>
      </c>
      <c r="B8" s="31" t="s">
        <v>132</v>
      </c>
      <c r="C8" s="31" t="s">
        <v>133</v>
      </c>
      <c r="D8" s="31" t="s">
        <v>134</v>
      </c>
      <c r="E8" s="33">
        <v>7500</v>
      </c>
      <c r="F8" s="70">
        <f>E8*500</f>
        <v>3750000</v>
      </c>
      <c r="G8" s="70">
        <v>910200</v>
      </c>
      <c r="H8" s="65">
        <f>+G8/F8</f>
        <v>0.24271999999999999</v>
      </c>
      <c r="I8" s="158">
        <v>5500</v>
      </c>
      <c r="J8" s="157"/>
      <c r="K8" s="157"/>
      <c r="L8" s="2">
        <f>+I8*500</f>
        <v>2750000</v>
      </c>
      <c r="M8" s="58"/>
      <c r="N8" s="58">
        <f>+L8/500</f>
        <v>5500</v>
      </c>
      <c r="O8" s="58">
        <v>55</v>
      </c>
      <c r="P8" s="58"/>
      <c r="Q8" s="58"/>
      <c r="R8" s="58"/>
      <c r="S8" s="58"/>
      <c r="T8" s="58"/>
      <c r="U8" s="58"/>
      <c r="V8" s="58"/>
      <c r="W8" s="58"/>
      <c r="X8" s="58"/>
      <c r="Y8" s="58"/>
      <c r="Z8" s="58"/>
      <c r="AA8" s="58"/>
      <c r="AB8" s="58"/>
      <c r="AC8" s="58"/>
      <c r="AD8" s="58"/>
      <c r="AE8" s="58"/>
      <c r="AF8" s="58"/>
      <c r="AG8" s="58"/>
    </row>
    <row r="9" spans="1:33" x14ac:dyDescent="0.25">
      <c r="A9" s="60"/>
      <c r="B9" s="60"/>
      <c r="C9" s="73"/>
      <c r="D9" s="60"/>
      <c r="E9" s="74"/>
      <c r="F9" s="75"/>
      <c r="G9" s="75"/>
      <c r="H9" s="76"/>
      <c r="I9" s="99">
        <f>SUM(I6:I8)</f>
        <v>15500</v>
      </c>
      <c r="J9" s="156"/>
      <c r="K9" s="156"/>
      <c r="L9" s="2">
        <f>+I9*500</f>
        <v>7750000</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2:AF8"/>
  <sheetViews>
    <sheetView workbookViewId="0"/>
  </sheetViews>
  <sheetFormatPr baseColWidth="10" defaultColWidth="11.42578125" defaultRowHeight="15" x14ac:dyDescent="0.25"/>
  <cols>
    <col min="1" max="1" width="5.140625" customWidth="1"/>
    <col min="2" max="2" width="28.42578125" customWidth="1"/>
    <col min="3" max="3" width="21.42578125" style="61" customWidth="1"/>
    <col min="4" max="4" width="15" customWidth="1"/>
    <col min="6" max="6" width="15.42578125" customWidth="1"/>
    <col min="7" max="7" width="0.42578125" hidden="1" customWidth="1"/>
    <col min="9" max="9" width="25.85546875" style="2" customWidth="1"/>
    <col min="10" max="11" width="17" customWidth="1"/>
    <col min="12" max="12" width="13.5703125" customWidth="1"/>
    <col min="13" max="13" width="13" bestFit="1" customWidth="1"/>
    <col min="14" max="14" width="15.42578125" bestFit="1" customWidth="1"/>
  </cols>
  <sheetData>
    <row r="2" spans="1:32" x14ac:dyDescent="0.25">
      <c r="B2" t="s">
        <v>135</v>
      </c>
    </row>
    <row r="4" spans="1:32" x14ac:dyDescent="0.25">
      <c r="B4" s="68" t="s">
        <v>384</v>
      </c>
      <c r="C4" s="159" t="s">
        <v>385</v>
      </c>
      <c r="D4" s="68" t="s">
        <v>386</v>
      </c>
      <c r="E4" s="68"/>
      <c r="F4" s="68" t="s">
        <v>387</v>
      </c>
      <c r="G4" s="68" t="s">
        <v>388</v>
      </c>
      <c r="H4" s="68" t="s">
        <v>389</v>
      </c>
      <c r="I4" s="96" t="s">
        <v>417</v>
      </c>
      <c r="J4" s="145" t="s">
        <v>432</v>
      </c>
      <c r="K4" s="107" t="s">
        <v>433</v>
      </c>
    </row>
    <row r="5" spans="1:32" ht="102" x14ac:dyDescent="0.25">
      <c r="A5">
        <v>1</v>
      </c>
      <c r="B5" s="39" t="s">
        <v>136</v>
      </c>
      <c r="C5" s="39" t="s">
        <v>436</v>
      </c>
      <c r="D5" s="39" t="s">
        <v>139</v>
      </c>
      <c r="E5" s="37">
        <v>10000</v>
      </c>
      <c r="F5" s="70">
        <f>E5*500</f>
        <v>5000000</v>
      </c>
      <c r="G5" s="70">
        <v>2419023</v>
      </c>
      <c r="H5" s="69">
        <f>+G5/F5</f>
        <v>0.48380459999999997</v>
      </c>
      <c r="I5" s="96">
        <f>+(1000000*3+500000*2+20000*7*7+24*10000*7)/500</f>
        <v>13320</v>
      </c>
    </row>
    <row r="6" spans="1:32" ht="102" x14ac:dyDescent="0.25">
      <c r="A6" s="61">
        <f>+A5+1</f>
        <v>2</v>
      </c>
      <c r="B6" s="39" t="s">
        <v>140</v>
      </c>
      <c r="C6" s="72" t="s">
        <v>437</v>
      </c>
      <c r="D6" s="72" t="s">
        <v>142</v>
      </c>
      <c r="E6" s="37">
        <v>63492</v>
      </c>
      <c r="F6" s="70">
        <f>E6*500</f>
        <v>31746000</v>
      </c>
      <c r="G6" s="70">
        <v>49195810</v>
      </c>
      <c r="H6" s="69">
        <f>+G6/F6</f>
        <v>1.5496695646695646</v>
      </c>
      <c r="I6" s="97">
        <v>79310</v>
      </c>
      <c r="J6" s="58"/>
      <c r="K6" s="58"/>
      <c r="L6" s="95">
        <f>11*(755000+45000*12+20000*12+10000+100000)+22*(180000+45000*12+12500*12+10000+100000)</f>
        <v>39655000</v>
      </c>
      <c r="M6" s="95">
        <f>+L6/500</f>
        <v>79310</v>
      </c>
      <c r="O6" s="58"/>
      <c r="P6" s="58"/>
      <c r="Q6" s="58"/>
      <c r="R6" s="58"/>
      <c r="S6" s="58"/>
      <c r="T6" s="58"/>
      <c r="U6" s="58"/>
      <c r="V6" s="58"/>
      <c r="W6" s="58"/>
      <c r="X6" s="58"/>
      <c r="Y6" s="58"/>
      <c r="Z6" s="58"/>
      <c r="AA6" s="58"/>
      <c r="AB6" s="58"/>
      <c r="AC6" s="58"/>
      <c r="AD6" s="58"/>
      <c r="AE6" s="58"/>
      <c r="AF6" s="58"/>
    </row>
    <row r="7" spans="1:32" ht="102" x14ac:dyDescent="0.25">
      <c r="A7" s="61">
        <f>+A6+1</f>
        <v>3</v>
      </c>
      <c r="B7" s="39" t="s">
        <v>144</v>
      </c>
      <c r="C7" s="72" t="s">
        <v>438</v>
      </c>
      <c r="D7" s="72" t="s">
        <v>146</v>
      </c>
      <c r="E7" s="33">
        <v>41136</v>
      </c>
      <c r="F7" s="70">
        <f>E7*500</f>
        <v>20568000</v>
      </c>
      <c r="G7" s="70">
        <v>38260421</v>
      </c>
      <c r="H7" s="69">
        <f>+G7/F7</f>
        <v>1.8601916083236094</v>
      </c>
      <c r="I7" s="97">
        <v>74510</v>
      </c>
      <c r="J7" s="58"/>
      <c r="K7" s="58"/>
      <c r="L7" s="58">
        <f>5*(955000+80000*12+20000*12+10000+10000+100000)+8*(305000+80000*12+12500*12+10000+100000)+2*(955000+80000*12+20000*12+10000+100000)+6*(305000+80000*12+12500*12+10000+100000)</f>
        <v>37255000</v>
      </c>
      <c r="M7" s="58">
        <f>+L7/500</f>
        <v>74510</v>
      </c>
      <c r="N7" s="58"/>
      <c r="O7" s="58"/>
      <c r="P7" s="58"/>
      <c r="Q7" s="58"/>
      <c r="R7" s="58"/>
      <c r="S7" s="58"/>
      <c r="T7" s="58"/>
      <c r="U7" s="58"/>
      <c r="V7" s="58"/>
      <c r="W7" s="58"/>
      <c r="X7" s="58"/>
      <c r="Y7" s="58"/>
      <c r="Z7" s="58"/>
      <c r="AA7" s="58"/>
      <c r="AB7" s="58"/>
      <c r="AC7" s="58"/>
      <c r="AD7" s="58"/>
      <c r="AE7" s="58"/>
      <c r="AF7" s="58"/>
    </row>
    <row r="8" spans="1:32" x14ac:dyDescent="0.25">
      <c r="B8" s="68" t="s">
        <v>7</v>
      </c>
      <c r="C8" s="159"/>
      <c r="D8" s="68"/>
      <c r="E8" s="68"/>
      <c r="F8" s="68"/>
      <c r="G8" s="68"/>
      <c r="H8" s="68"/>
      <c r="I8" s="96">
        <f>SUM(I5:I7)</f>
        <v>167140</v>
      </c>
    </row>
  </sheetData>
  <pageMargins left="0.7" right="0.7" top="0.75" bottom="0.75" header="0.3" footer="0.3"/>
  <legacyDrawing r:id="rId1"/>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B2:J6"/>
  <sheetViews>
    <sheetView workbookViewId="0"/>
  </sheetViews>
  <sheetFormatPr baseColWidth="10" defaultColWidth="11.42578125" defaultRowHeight="15" x14ac:dyDescent="0.25"/>
  <cols>
    <col min="1" max="1" width="7.42578125" customWidth="1"/>
    <col min="2" max="2" width="28.42578125" customWidth="1"/>
    <col min="3" max="3" width="18.5703125" customWidth="1"/>
    <col min="4" max="4" width="18.42578125" customWidth="1"/>
    <col min="7" max="7" width="13.5703125" customWidth="1"/>
    <col min="8" max="8" width="13.85546875" customWidth="1"/>
    <col min="10" max="10" width="24.5703125" style="2" customWidth="1"/>
  </cols>
  <sheetData>
    <row r="2" spans="2:10" x14ac:dyDescent="0.25">
      <c r="B2" t="s">
        <v>147</v>
      </c>
    </row>
    <row r="4" spans="2:10" x14ac:dyDescent="0.25">
      <c r="B4" s="60"/>
      <c r="C4" s="60" t="s">
        <v>384</v>
      </c>
      <c r="D4" s="60" t="s">
        <v>385</v>
      </c>
      <c r="E4" s="60" t="s">
        <v>386</v>
      </c>
      <c r="F4" s="60"/>
      <c r="G4" s="60" t="s">
        <v>387</v>
      </c>
      <c r="H4" s="60" t="s">
        <v>388</v>
      </c>
      <c r="I4" s="60" t="s">
        <v>389</v>
      </c>
      <c r="J4" s="99" t="s">
        <v>417</v>
      </c>
    </row>
    <row r="5" spans="2:10" ht="396" x14ac:dyDescent="0.25">
      <c r="B5" s="38">
        <f>+B4+1</f>
        <v>1</v>
      </c>
      <c r="C5" s="31" t="s">
        <v>439</v>
      </c>
      <c r="D5" s="41" t="s">
        <v>440</v>
      </c>
      <c r="E5" s="160" t="s">
        <v>151</v>
      </c>
      <c r="F5" s="33">
        <v>20000</v>
      </c>
      <c r="G5" s="70">
        <f>F5*500</f>
        <v>10000000</v>
      </c>
      <c r="H5" s="70">
        <v>1585881</v>
      </c>
      <c r="I5" s="65">
        <f>+H5/G5</f>
        <v>0.15858810000000001</v>
      </c>
      <c r="J5" s="99">
        <v>20000</v>
      </c>
    </row>
    <row r="6" spans="2:10" x14ac:dyDescent="0.25">
      <c r="B6" s="60" t="s">
        <v>7</v>
      </c>
      <c r="C6" s="60"/>
      <c r="D6" s="60"/>
      <c r="E6" s="60"/>
      <c r="F6" s="60"/>
      <c r="G6" s="60"/>
      <c r="H6" s="60"/>
      <c r="I6" s="60"/>
      <c r="J6" s="99">
        <f>SUM(J5)</f>
        <v>20000</v>
      </c>
    </row>
  </sheetData>
  <pageMargins left="0.7" right="0.7" top="0.75" bottom="0.75" header="0.3" footer="0.3"/>
  <legacy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2:AE10"/>
  <sheetViews>
    <sheetView workbookViewId="0"/>
  </sheetViews>
  <sheetFormatPr baseColWidth="10" defaultColWidth="11.42578125" defaultRowHeight="15.75" x14ac:dyDescent="0.25"/>
  <cols>
    <col min="1" max="1" width="11.42578125" style="118"/>
    <col min="2" max="2" width="33.42578125" style="119" customWidth="1"/>
    <col min="3" max="3" width="20.42578125" style="118" customWidth="1"/>
    <col min="4" max="16384" width="11.42578125" style="118"/>
  </cols>
  <sheetData>
    <row r="2" spans="1:31" ht="31.5" x14ac:dyDescent="0.25">
      <c r="A2" s="118">
        <v>3</v>
      </c>
      <c r="B2" s="119" t="s">
        <v>4</v>
      </c>
    </row>
    <row r="4" spans="1:31" ht="31.5" x14ac:dyDescent="0.25">
      <c r="A4" s="120"/>
      <c r="B4" s="121"/>
      <c r="C4" s="122"/>
      <c r="D4" s="122" t="s">
        <v>372</v>
      </c>
      <c r="E4" s="122" t="s">
        <v>373</v>
      </c>
      <c r="F4" s="122" t="s">
        <v>374</v>
      </c>
    </row>
    <row r="5" spans="1:31" ht="31.5" x14ac:dyDescent="0.25">
      <c r="A5" s="120" t="s">
        <v>441</v>
      </c>
      <c r="B5" s="115" t="s">
        <v>442</v>
      </c>
      <c r="C5" s="123">
        <f>+'C3A'!I10</f>
        <v>27200</v>
      </c>
      <c r="D5" s="123"/>
      <c r="E5" s="123"/>
      <c r="F5" s="123"/>
      <c r="G5" s="124"/>
      <c r="H5" s="124"/>
      <c r="I5" s="124"/>
      <c r="J5" s="124"/>
      <c r="K5" s="124"/>
      <c r="L5" s="124"/>
      <c r="M5" s="124"/>
      <c r="N5" s="124"/>
      <c r="O5" s="124"/>
      <c r="P5" s="124"/>
      <c r="Q5" s="124"/>
      <c r="R5" s="124"/>
      <c r="S5" s="124"/>
      <c r="T5" s="124"/>
      <c r="U5" s="124"/>
      <c r="V5" s="124"/>
      <c r="W5" s="124"/>
      <c r="X5" s="124"/>
      <c r="Y5" s="124"/>
      <c r="Z5" s="124"/>
      <c r="AA5" s="124"/>
      <c r="AB5" s="124"/>
      <c r="AC5" s="124"/>
      <c r="AD5" s="124"/>
      <c r="AE5" s="124"/>
    </row>
    <row r="6" spans="1:31" ht="31.5" x14ac:dyDescent="0.25">
      <c r="A6" s="120" t="s">
        <v>443</v>
      </c>
      <c r="B6" s="115" t="s">
        <v>444</v>
      </c>
      <c r="C6" s="123">
        <f>+'C3B'!J7</f>
        <v>12000</v>
      </c>
      <c r="D6" s="123"/>
      <c r="E6" s="123"/>
      <c r="F6" s="123"/>
      <c r="G6" s="124"/>
      <c r="H6" s="124"/>
      <c r="I6" s="124"/>
      <c r="J6" s="124"/>
      <c r="K6" s="124"/>
      <c r="L6" s="124"/>
      <c r="M6" s="124"/>
      <c r="N6" s="124"/>
      <c r="O6" s="124"/>
      <c r="P6" s="124"/>
      <c r="Q6" s="124"/>
      <c r="R6" s="124"/>
      <c r="S6" s="124"/>
      <c r="T6" s="124"/>
      <c r="U6" s="124"/>
      <c r="V6" s="124"/>
      <c r="W6" s="124"/>
      <c r="X6" s="124"/>
      <c r="Y6" s="124"/>
      <c r="Z6" s="124"/>
      <c r="AA6" s="124"/>
      <c r="AB6" s="124"/>
      <c r="AC6" s="124"/>
      <c r="AD6" s="124"/>
      <c r="AE6" s="124"/>
    </row>
    <row r="7" spans="1:31" x14ac:dyDescent="0.25">
      <c r="A7" s="120" t="s">
        <v>445</v>
      </c>
      <c r="B7" s="116" t="s">
        <v>446</v>
      </c>
      <c r="C7" s="125">
        <f>+'C3C'!J11</f>
        <v>139795</v>
      </c>
      <c r="D7" s="125"/>
      <c r="E7" s="125"/>
      <c r="F7" s="125"/>
      <c r="G7" s="126"/>
      <c r="H7" s="126"/>
      <c r="I7" s="126"/>
      <c r="J7" s="126"/>
      <c r="K7" s="126"/>
      <c r="L7" s="126"/>
      <c r="M7" s="126"/>
      <c r="N7" s="126"/>
      <c r="O7" s="126"/>
      <c r="P7" s="126"/>
      <c r="Q7" s="126"/>
      <c r="R7" s="126"/>
      <c r="S7" s="126"/>
      <c r="T7" s="126"/>
      <c r="U7" s="126"/>
      <c r="V7" s="126"/>
      <c r="W7" s="126"/>
      <c r="X7" s="126"/>
      <c r="Y7" s="126"/>
      <c r="Z7" s="126"/>
      <c r="AA7" s="126"/>
      <c r="AB7" s="126"/>
      <c r="AC7" s="126"/>
      <c r="AD7" s="126"/>
      <c r="AE7" s="126"/>
    </row>
    <row r="8" spans="1:31" ht="31.5" x14ac:dyDescent="0.25">
      <c r="A8" s="120" t="s">
        <v>447</v>
      </c>
      <c r="B8" s="117" t="s">
        <v>448</v>
      </c>
      <c r="C8" s="125">
        <f>+'C3D'!J12</f>
        <v>20000</v>
      </c>
      <c r="D8" s="125"/>
      <c r="E8" s="125"/>
      <c r="F8" s="125"/>
      <c r="G8" s="126"/>
      <c r="H8" s="126"/>
      <c r="I8" s="126"/>
      <c r="J8" s="126"/>
      <c r="K8" s="126"/>
      <c r="L8" s="126"/>
      <c r="M8" s="126"/>
      <c r="N8" s="126"/>
      <c r="O8" s="126"/>
      <c r="P8" s="126"/>
      <c r="Q8" s="126"/>
      <c r="R8" s="126"/>
      <c r="S8" s="126"/>
      <c r="T8" s="126"/>
      <c r="U8" s="126"/>
      <c r="V8" s="126"/>
      <c r="W8" s="126"/>
      <c r="X8" s="126"/>
      <c r="Y8" s="126"/>
      <c r="Z8" s="126"/>
      <c r="AA8" s="126"/>
      <c r="AB8" s="126"/>
      <c r="AC8" s="126"/>
      <c r="AD8" s="126"/>
      <c r="AE8" s="126"/>
    </row>
    <row r="9" spans="1:31" x14ac:dyDescent="0.25">
      <c r="A9" s="120" t="s">
        <v>449</v>
      </c>
      <c r="B9" s="117" t="s">
        <v>450</v>
      </c>
      <c r="C9" s="125">
        <f>+'C3E'!J10</f>
        <v>277610</v>
      </c>
      <c r="D9" s="125"/>
      <c r="E9" s="125"/>
      <c r="F9" s="125"/>
      <c r="G9" s="126"/>
      <c r="H9" s="126"/>
      <c r="I9" s="126"/>
      <c r="J9" s="126"/>
      <c r="K9" s="126"/>
      <c r="L9" s="126"/>
      <c r="M9" s="126"/>
      <c r="N9" s="126"/>
      <c r="O9" s="126"/>
      <c r="P9" s="126"/>
      <c r="Q9" s="126"/>
      <c r="R9" s="126"/>
      <c r="S9" s="126"/>
      <c r="T9" s="126"/>
      <c r="U9" s="126"/>
      <c r="V9" s="126"/>
      <c r="W9" s="126"/>
      <c r="X9" s="126"/>
      <c r="Y9" s="126"/>
      <c r="Z9" s="126"/>
      <c r="AA9" s="126"/>
      <c r="AB9" s="126"/>
      <c r="AC9" s="126"/>
      <c r="AD9" s="126"/>
      <c r="AE9" s="126"/>
    </row>
    <row r="10" spans="1:31" x14ac:dyDescent="0.25">
      <c r="A10" s="161"/>
      <c r="B10" s="162" t="s">
        <v>7</v>
      </c>
      <c r="C10" s="161">
        <f>SUM(C5:C9)</f>
        <v>476605</v>
      </c>
      <c r="D10" s="120"/>
      <c r="E10" s="120"/>
      <c r="F10" s="120"/>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2:I10"/>
  <sheetViews>
    <sheetView workbookViewId="0"/>
  </sheetViews>
  <sheetFormatPr baseColWidth="10" defaultColWidth="11.42578125" defaultRowHeight="15" x14ac:dyDescent="0.25"/>
  <cols>
    <col min="1" max="1" width="7.42578125" customWidth="1"/>
    <col min="2" max="2" width="19.42578125" customWidth="1"/>
    <col min="3" max="3" width="16.5703125" customWidth="1"/>
    <col min="4" max="4" width="14.42578125" customWidth="1"/>
    <col min="5" max="5" width="12.42578125" bestFit="1" customWidth="1"/>
    <col min="6" max="6" width="17.85546875" style="61" customWidth="1"/>
    <col min="7" max="7" width="14.42578125" style="61" customWidth="1"/>
    <col min="8" max="8" width="11.42578125" style="61"/>
    <col min="9" max="9" width="11.85546875" style="180" bestFit="1" customWidth="1"/>
  </cols>
  <sheetData>
    <row r="2" spans="1:9" x14ac:dyDescent="0.25">
      <c r="A2" t="s">
        <v>154</v>
      </c>
    </row>
    <row r="4" spans="1:9" x14ac:dyDescent="0.25">
      <c r="B4" s="60" t="s">
        <v>384</v>
      </c>
      <c r="C4" s="60" t="s">
        <v>385</v>
      </c>
      <c r="D4" s="60" t="s">
        <v>386</v>
      </c>
      <c r="E4" s="60"/>
      <c r="F4" s="73" t="s">
        <v>387</v>
      </c>
      <c r="G4" s="73" t="s">
        <v>388</v>
      </c>
      <c r="H4" s="73" t="s">
        <v>389</v>
      </c>
      <c r="I4" s="172" t="s">
        <v>417</v>
      </c>
    </row>
    <row r="5" spans="1:9" ht="293.25" x14ac:dyDescent="0.25">
      <c r="A5" s="30">
        <v>1</v>
      </c>
      <c r="B5" s="50" t="s">
        <v>155</v>
      </c>
      <c r="C5" s="39" t="s">
        <v>156</v>
      </c>
      <c r="D5" s="163" t="s">
        <v>158</v>
      </c>
      <c r="E5" s="45">
        <v>2400</v>
      </c>
      <c r="F5" s="64">
        <f>E5*500</f>
        <v>1200000</v>
      </c>
      <c r="G5" s="64">
        <v>941000</v>
      </c>
      <c r="H5" s="171">
        <f>+G5/F5</f>
        <v>0.78416666666666668</v>
      </c>
      <c r="I5" s="172">
        <v>2400</v>
      </c>
    </row>
    <row r="6" spans="1:9" ht="204.75" x14ac:dyDescent="0.25">
      <c r="A6" s="30">
        <f>+A5+1</f>
        <v>2</v>
      </c>
      <c r="B6" s="50" t="s">
        <v>160</v>
      </c>
      <c r="C6" s="39" t="s">
        <v>451</v>
      </c>
      <c r="D6" s="44" t="s">
        <v>452</v>
      </c>
      <c r="E6" s="45">
        <v>10000</v>
      </c>
      <c r="F6" s="64">
        <f>E6*500</f>
        <v>5000000</v>
      </c>
      <c r="G6" s="64">
        <v>975861</v>
      </c>
      <c r="H6" s="171">
        <f>+G6/F6</f>
        <v>0.19517219999999999</v>
      </c>
      <c r="I6" s="172">
        <v>8000</v>
      </c>
    </row>
    <row r="7" spans="1:9" ht="318.75" x14ac:dyDescent="0.25">
      <c r="A7" s="30">
        <f>+A6+1</f>
        <v>3</v>
      </c>
      <c r="B7" s="39" t="s">
        <v>163</v>
      </c>
      <c r="C7" s="39" t="s">
        <v>164</v>
      </c>
      <c r="D7" s="39" t="s">
        <v>453</v>
      </c>
      <c r="E7" s="46">
        <v>11000</v>
      </c>
      <c r="F7" s="64">
        <f>E7*500</f>
        <v>5500000</v>
      </c>
      <c r="G7" s="64">
        <v>2336355</v>
      </c>
      <c r="H7" s="171">
        <f>+G7/F7</f>
        <v>0.42479181818181816</v>
      </c>
      <c r="I7" s="172">
        <f>(600000*4/500)+(1000000*2/500)</f>
        <v>8800</v>
      </c>
    </row>
    <row r="8" spans="1:9" ht="165.75" x14ac:dyDescent="0.25">
      <c r="A8" s="30">
        <f>+A7+1</f>
        <v>4</v>
      </c>
      <c r="B8" s="39" t="s">
        <v>166</v>
      </c>
      <c r="C8" s="39" t="s">
        <v>454</v>
      </c>
      <c r="D8" s="163" t="s">
        <v>455</v>
      </c>
      <c r="E8" s="37">
        <v>8000</v>
      </c>
      <c r="F8" s="64">
        <f>E8*500</f>
        <v>4000000</v>
      </c>
      <c r="G8" s="64">
        <v>2103400</v>
      </c>
      <c r="H8" s="171">
        <f>+G8/F8</f>
        <v>0.52585000000000004</v>
      </c>
      <c r="I8" s="172">
        <f>1000000*0.006</f>
        <v>6000</v>
      </c>
    </row>
    <row r="9" spans="1:9" ht="76.5" x14ac:dyDescent="0.25">
      <c r="A9" s="30"/>
      <c r="B9" s="39" t="s">
        <v>169</v>
      </c>
      <c r="C9" s="39" t="s">
        <v>170</v>
      </c>
      <c r="D9" s="163" t="s">
        <v>171</v>
      </c>
      <c r="E9" s="37"/>
      <c r="F9" s="64"/>
      <c r="G9" s="64"/>
      <c r="H9" s="171"/>
      <c r="I9" s="172">
        <v>2000</v>
      </c>
    </row>
    <row r="10" spans="1:9" x14ac:dyDescent="0.25">
      <c r="A10" s="98"/>
      <c r="B10" s="98" t="s">
        <v>7</v>
      </c>
      <c r="C10" s="98"/>
      <c r="D10" s="98"/>
      <c r="E10" s="98"/>
      <c r="F10" s="181"/>
      <c r="G10" s="181"/>
      <c r="H10" s="181"/>
      <c r="I10" s="182">
        <f>SUM(I5:I9)</f>
        <v>27200</v>
      </c>
    </row>
  </sheetData>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39997558519241921"/>
  </sheetPr>
  <dimension ref="A1:J16"/>
  <sheetViews>
    <sheetView tabSelected="1" topLeftCell="A3" zoomScale="170" zoomScaleNormal="170" workbookViewId="0">
      <selection activeCell="E6" sqref="E6"/>
    </sheetView>
  </sheetViews>
  <sheetFormatPr baseColWidth="10" defaultColWidth="11.42578125" defaultRowHeight="15" x14ac:dyDescent="0.25"/>
  <cols>
    <col min="1" max="1" width="11.42578125" style="220"/>
    <col min="2" max="2" width="31.42578125" style="221" customWidth="1"/>
    <col min="3" max="3" width="22.7109375" style="220" customWidth="1"/>
    <col min="4" max="4" width="21.85546875" style="220" customWidth="1"/>
    <col min="5" max="5" width="16.7109375" style="220" bestFit="1" customWidth="1"/>
    <col min="6" max="6" width="15" style="220" customWidth="1"/>
    <col min="7" max="9" width="11.42578125" style="220"/>
    <col min="10" max="10" width="15.5703125" style="220" bestFit="1" customWidth="1"/>
    <col min="11" max="16384" width="11.42578125" style="220"/>
  </cols>
  <sheetData>
    <row r="1" spans="1:10" x14ac:dyDescent="0.25">
      <c r="D1" s="220">
        <v>600</v>
      </c>
    </row>
    <row r="2" spans="1:10" x14ac:dyDescent="0.25">
      <c r="B2" s="221" t="s">
        <v>538</v>
      </c>
    </row>
    <row r="3" spans="1:10" s="228" customFormat="1" ht="14.25" x14ac:dyDescent="0.2">
      <c r="A3" s="227"/>
      <c r="B3" s="227" t="s">
        <v>1</v>
      </c>
      <c r="C3" s="227" t="s">
        <v>522</v>
      </c>
      <c r="D3" s="227" t="s">
        <v>523</v>
      </c>
      <c r="E3" s="227"/>
    </row>
    <row r="4" spans="1:10" ht="30" x14ac:dyDescent="0.25">
      <c r="A4" s="222">
        <v>1</v>
      </c>
      <c r="B4" s="223" t="s">
        <v>2</v>
      </c>
      <c r="C4" s="224">
        <f>+D4/$D$1</f>
        <v>224419.23741666664</v>
      </c>
      <c r="D4" s="224">
        <f>SUM('PTBA 2023 revu'!Y10:Y27,'PTBA 2023 revu'!Y29,'PTBA 2023 revu'!Y31,'PTBA 2023 revu'!Y33)</f>
        <v>134651542.44999999</v>
      </c>
      <c r="E4" s="225">
        <f>+D4/$D$9</f>
        <v>0.20140104013586471</v>
      </c>
    </row>
    <row r="5" spans="1:10" ht="45" x14ac:dyDescent="0.25">
      <c r="A5" s="222">
        <v>2</v>
      </c>
      <c r="B5" s="223" t="s">
        <v>3</v>
      </c>
      <c r="C5" s="224">
        <f t="shared" ref="C5:C8" si="0">+D5/$D$1</f>
        <v>230000</v>
      </c>
      <c r="D5" s="224">
        <f>SUM('PTBA 2023 revu'!Y36,'PTBA 2023 revu'!Y38:Y42,'PTBA 2023 revu'!Y44)</f>
        <v>138000000</v>
      </c>
      <c r="E5" s="225">
        <f t="shared" ref="E5:E8" si="1">+D5/$D$9</f>
        <v>0.20640939593447141</v>
      </c>
    </row>
    <row r="6" spans="1:10" ht="30" x14ac:dyDescent="0.25">
      <c r="A6" s="222">
        <v>3</v>
      </c>
      <c r="B6" s="223" t="s">
        <v>4</v>
      </c>
      <c r="C6" s="224">
        <f t="shared" si="0"/>
        <v>458452.97666666668</v>
      </c>
      <c r="D6" s="224">
        <f>SUM('PTBA 2023 revu'!Y47:Y51,'PTBA 2023 revu'!Y53:Y53,'PTBA 2023 revu'!Y55:Y59,'PTBA 2023 revu'!Y61:Y67,'PTBA 2023 revu'!Y69:Y75)</f>
        <v>275071786</v>
      </c>
      <c r="E6" s="225">
        <f t="shared" si="1"/>
        <v>0.41143044338316082</v>
      </c>
    </row>
    <row r="7" spans="1:10" ht="30" x14ac:dyDescent="0.25">
      <c r="A7" s="222">
        <v>4</v>
      </c>
      <c r="B7" s="223" t="s">
        <v>5</v>
      </c>
      <c r="C7" s="224">
        <f t="shared" si="0"/>
        <v>149000</v>
      </c>
      <c r="D7" s="224">
        <f>SUM('PTBA 2023 revu'!Y78:Y79,'PTBA 2023 revu'!Y81:Y82,'PTBA 2023 revu'!Y84:Y87)</f>
        <v>89400000</v>
      </c>
      <c r="E7" s="225">
        <f t="shared" si="1"/>
        <v>0.133717391279288</v>
      </c>
    </row>
    <row r="8" spans="1:10" ht="60" x14ac:dyDescent="0.25">
      <c r="A8" s="222">
        <v>5</v>
      </c>
      <c r="B8" s="223" t="s">
        <v>541</v>
      </c>
      <c r="C8" s="224">
        <f t="shared" si="0"/>
        <v>52418.145416666666</v>
      </c>
      <c r="D8" s="224">
        <f>SUM('PTBA 2023 revu'!Y90:Y91,'PTBA 2023 revu'!Y93:Y94)</f>
        <v>31450887.25</v>
      </c>
      <c r="E8" s="225">
        <f t="shared" si="1"/>
        <v>4.7041729267214991E-2</v>
      </c>
      <c r="J8" s="235"/>
    </row>
    <row r="9" spans="1:10" x14ac:dyDescent="0.25">
      <c r="A9" s="222"/>
      <c r="B9" s="223" t="s">
        <v>7</v>
      </c>
      <c r="C9" s="224">
        <f>SUM(C4:C8)</f>
        <v>1114290.3595</v>
      </c>
      <c r="D9" s="224">
        <f>SUM(D4:D8)</f>
        <v>668574215.70000005</v>
      </c>
      <c r="E9" s="225">
        <f>+D9/$D$9</f>
        <v>1</v>
      </c>
      <c r="J9" s="234"/>
    </row>
    <row r="10" spans="1:10" x14ac:dyDescent="0.25">
      <c r="D10" s="235"/>
    </row>
    <row r="11" spans="1:10" x14ac:dyDescent="0.25">
      <c r="D11" s="235"/>
    </row>
    <row r="12" spans="1:10" x14ac:dyDescent="0.25">
      <c r="D12" s="235"/>
      <c r="E12" s="235"/>
      <c r="F12" s="236"/>
      <c r="G12" s="237"/>
    </row>
    <row r="13" spans="1:10" x14ac:dyDescent="0.25">
      <c r="D13" s="235"/>
      <c r="E13" s="235"/>
      <c r="F13" s="236"/>
      <c r="G13" s="237"/>
    </row>
    <row r="14" spans="1:10" x14ac:dyDescent="0.25">
      <c r="D14" s="236"/>
    </row>
    <row r="15" spans="1:10" x14ac:dyDescent="0.25">
      <c r="F15" s="235"/>
    </row>
    <row r="16" spans="1:10" x14ac:dyDescent="0.25">
      <c r="F16" s="235"/>
    </row>
  </sheetData>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B2:L7"/>
  <sheetViews>
    <sheetView workbookViewId="0"/>
  </sheetViews>
  <sheetFormatPr baseColWidth="10" defaultColWidth="11.42578125" defaultRowHeight="15" x14ac:dyDescent="0.25"/>
  <cols>
    <col min="2" max="2" width="6.42578125" customWidth="1"/>
    <col min="3" max="3" width="17.85546875" customWidth="1"/>
    <col min="5" max="5" width="14.5703125" customWidth="1"/>
    <col min="6" max="6" width="12.42578125" bestFit="1" customWidth="1"/>
    <col min="7" max="7" width="17.85546875" style="61" customWidth="1"/>
    <col min="8" max="8" width="16.42578125" style="61" customWidth="1"/>
    <col min="9" max="9" width="11.42578125" style="61"/>
    <col min="10" max="10" width="19.42578125" style="180" customWidth="1"/>
    <col min="11" max="11" width="19.42578125" style="2" customWidth="1"/>
  </cols>
  <sheetData>
    <row r="2" spans="2:12" x14ac:dyDescent="0.25">
      <c r="B2" t="s">
        <v>172</v>
      </c>
    </row>
    <row r="4" spans="2:12" x14ac:dyDescent="0.25">
      <c r="C4" s="60" t="s">
        <v>384</v>
      </c>
      <c r="D4" s="60" t="s">
        <v>385</v>
      </c>
      <c r="E4" s="60" t="s">
        <v>386</v>
      </c>
      <c r="F4" s="60"/>
      <c r="G4" s="73" t="s">
        <v>387</v>
      </c>
      <c r="H4" s="73" t="s">
        <v>388</v>
      </c>
      <c r="I4" s="73" t="s">
        <v>389</v>
      </c>
      <c r="J4" s="172" t="s">
        <v>417</v>
      </c>
      <c r="K4" s="156" t="s">
        <v>432</v>
      </c>
      <c r="L4" s="164" t="s">
        <v>433</v>
      </c>
    </row>
    <row r="5" spans="2:12" ht="195" x14ac:dyDescent="0.25">
      <c r="B5" s="30">
        <v>1</v>
      </c>
      <c r="C5" s="50" t="s">
        <v>173</v>
      </c>
      <c r="D5" s="39" t="s">
        <v>174</v>
      </c>
      <c r="E5" s="163" t="s">
        <v>456</v>
      </c>
      <c r="F5" s="45">
        <v>12000</v>
      </c>
      <c r="G5" s="64">
        <f>F5*500</f>
        <v>6000000</v>
      </c>
      <c r="H5" s="64">
        <v>24950</v>
      </c>
      <c r="I5" s="183">
        <f>+H5/G5</f>
        <v>4.1583333333333333E-3</v>
      </c>
      <c r="J5" s="172">
        <v>6000</v>
      </c>
      <c r="K5" s="156"/>
      <c r="L5" s="166" t="s">
        <v>457</v>
      </c>
    </row>
    <row r="6" spans="2:12" ht="102" x14ac:dyDescent="0.25">
      <c r="B6" s="49">
        <v>2</v>
      </c>
      <c r="C6" s="50" t="s">
        <v>176</v>
      </c>
      <c r="D6" s="50" t="s">
        <v>458</v>
      </c>
      <c r="E6" s="165" t="s">
        <v>177</v>
      </c>
      <c r="F6" s="51">
        <v>12000</v>
      </c>
      <c r="G6" s="184">
        <f>F6*500</f>
        <v>6000000</v>
      </c>
      <c r="H6" s="184"/>
      <c r="I6" s="171">
        <f>+H6/G6</f>
        <v>0</v>
      </c>
      <c r="J6" s="172">
        <v>6000</v>
      </c>
      <c r="K6" s="156"/>
    </row>
    <row r="7" spans="2:12" x14ac:dyDescent="0.25">
      <c r="B7" s="30"/>
      <c r="C7" s="39" t="s">
        <v>7</v>
      </c>
      <c r="D7" s="39"/>
      <c r="E7" s="44"/>
      <c r="F7" s="37"/>
      <c r="G7" s="64"/>
      <c r="H7" s="64"/>
      <c r="I7" s="171"/>
      <c r="J7" s="172">
        <f>SUM(J5:J6)</f>
        <v>12000</v>
      </c>
      <c r="K7" s="156"/>
    </row>
  </sheetData>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B2:L11"/>
  <sheetViews>
    <sheetView workbookViewId="0"/>
  </sheetViews>
  <sheetFormatPr baseColWidth="10" defaultColWidth="11.42578125" defaultRowHeight="15" x14ac:dyDescent="0.25"/>
  <cols>
    <col min="2" max="2" width="6.5703125" customWidth="1"/>
    <col min="3" max="5" width="27.42578125" customWidth="1"/>
    <col min="6" max="6" width="12.42578125" bestFit="1" customWidth="1"/>
    <col min="7" max="7" width="17.85546875" customWidth="1"/>
    <col min="8" max="8" width="16.42578125" customWidth="1"/>
    <col min="10" max="10" width="18.5703125" style="2" customWidth="1"/>
    <col min="12" max="12" width="13.140625" bestFit="1" customWidth="1"/>
  </cols>
  <sheetData>
    <row r="2" spans="2:12" x14ac:dyDescent="0.25">
      <c r="B2" s="107" t="s">
        <v>179</v>
      </c>
      <c r="C2" s="107"/>
      <c r="D2" s="107"/>
      <c r="E2" s="107"/>
      <c r="F2" s="107"/>
      <c r="G2" s="107"/>
      <c r="H2" s="107"/>
      <c r="I2" s="107"/>
      <c r="J2" s="108"/>
      <c r="K2" s="107"/>
      <c r="L2" s="107"/>
    </row>
    <row r="3" spans="2:12" x14ac:dyDescent="0.25">
      <c r="B3" s="107"/>
      <c r="C3" s="107"/>
      <c r="D3" s="107"/>
      <c r="E3" s="107"/>
      <c r="F3" s="107"/>
      <c r="G3" s="107"/>
      <c r="H3" s="107"/>
      <c r="I3" s="107"/>
      <c r="J3" s="108"/>
      <c r="K3" s="107"/>
      <c r="L3" s="107"/>
    </row>
    <row r="4" spans="2:12" x14ac:dyDescent="0.25">
      <c r="B4" s="107"/>
      <c r="C4" s="68" t="s">
        <v>384</v>
      </c>
      <c r="D4" s="68" t="s">
        <v>385</v>
      </c>
      <c r="E4" s="68" t="s">
        <v>386</v>
      </c>
      <c r="F4" s="68"/>
      <c r="G4" s="68" t="s">
        <v>387</v>
      </c>
      <c r="H4" s="68" t="s">
        <v>388</v>
      </c>
      <c r="I4" s="68" t="s">
        <v>389</v>
      </c>
      <c r="J4" s="103" t="s">
        <v>417</v>
      </c>
      <c r="K4" s="145" t="s">
        <v>391</v>
      </c>
      <c r="L4" s="145" t="s">
        <v>433</v>
      </c>
    </row>
    <row r="5" spans="2:12" ht="115.5" x14ac:dyDescent="0.25">
      <c r="B5" s="30">
        <v>1</v>
      </c>
      <c r="C5" s="39" t="s">
        <v>180</v>
      </c>
      <c r="D5" s="39" t="s">
        <v>181</v>
      </c>
      <c r="E5" s="29" t="s">
        <v>182</v>
      </c>
      <c r="F5" s="167">
        <v>10000</v>
      </c>
      <c r="G5" s="168">
        <f t="shared" ref="G5:G10" si="0">F5*500</f>
        <v>5000000</v>
      </c>
      <c r="H5" s="169"/>
      <c r="I5" s="185">
        <f t="shared" ref="I5:I10" si="1">+H5/G5</f>
        <v>0</v>
      </c>
      <c r="J5" s="186">
        <v>5000</v>
      </c>
      <c r="K5" s="107"/>
      <c r="L5" s="107" t="s">
        <v>459</v>
      </c>
    </row>
    <row r="6" spans="2:12" ht="102.75" x14ac:dyDescent="0.25">
      <c r="B6" s="30">
        <f>+B5+1</f>
        <v>2</v>
      </c>
      <c r="C6" s="39" t="s">
        <v>184</v>
      </c>
      <c r="D6" s="39" t="s">
        <v>460</v>
      </c>
      <c r="E6" s="29" t="s">
        <v>186</v>
      </c>
      <c r="F6" s="45">
        <v>7500</v>
      </c>
      <c r="G6" s="64">
        <f t="shared" si="0"/>
        <v>3750000</v>
      </c>
      <c r="H6" s="64">
        <v>1063000</v>
      </c>
      <c r="I6" s="77">
        <f t="shared" si="1"/>
        <v>0.28346666666666664</v>
      </c>
      <c r="J6" s="187">
        <f>600000*0.006</f>
        <v>3600</v>
      </c>
      <c r="K6" s="107"/>
      <c r="L6" s="107"/>
    </row>
    <row r="7" spans="2:12" ht="51.75" x14ac:dyDescent="0.25">
      <c r="B7" s="30">
        <f>+B6+1</f>
        <v>3</v>
      </c>
      <c r="C7" s="39" t="s">
        <v>461</v>
      </c>
      <c r="D7" s="39" t="s">
        <v>462</v>
      </c>
      <c r="E7" s="29" t="s">
        <v>463</v>
      </c>
      <c r="F7" s="45">
        <v>3000</v>
      </c>
      <c r="G7" s="64">
        <f t="shared" si="0"/>
        <v>1500000</v>
      </c>
      <c r="H7" s="64"/>
      <c r="I7" s="69">
        <f t="shared" si="1"/>
        <v>0</v>
      </c>
      <c r="J7" s="103">
        <v>1500</v>
      </c>
      <c r="K7" s="107"/>
      <c r="L7" s="107"/>
    </row>
    <row r="8" spans="2:12" ht="89.25" x14ac:dyDescent="0.25">
      <c r="B8" s="30">
        <f>+B7+1</f>
        <v>4</v>
      </c>
      <c r="C8" s="39" t="s">
        <v>187</v>
      </c>
      <c r="D8" s="39" t="s">
        <v>464</v>
      </c>
      <c r="E8" s="31" t="s">
        <v>189</v>
      </c>
      <c r="F8" s="45">
        <v>10000</v>
      </c>
      <c r="G8" s="64">
        <f t="shared" si="0"/>
        <v>5000000</v>
      </c>
      <c r="H8" s="64">
        <v>2105306</v>
      </c>
      <c r="I8" s="69">
        <f t="shared" si="1"/>
        <v>0.42106120000000002</v>
      </c>
      <c r="J8" s="103">
        <v>500</v>
      </c>
      <c r="K8" s="107"/>
      <c r="L8" s="107"/>
    </row>
    <row r="9" spans="2:12" ht="77.25" x14ac:dyDescent="0.25">
      <c r="B9" s="30">
        <f>+B8+1</f>
        <v>5</v>
      </c>
      <c r="C9" s="39" t="s">
        <v>190</v>
      </c>
      <c r="D9" s="39" t="s">
        <v>191</v>
      </c>
      <c r="E9" s="29" t="s">
        <v>192</v>
      </c>
      <c r="F9" s="45">
        <v>7000</v>
      </c>
      <c r="G9" s="64">
        <f t="shared" si="0"/>
        <v>3500000</v>
      </c>
      <c r="H9" s="64"/>
      <c r="I9" s="69">
        <f t="shared" si="1"/>
        <v>0</v>
      </c>
      <c r="J9" s="103">
        <v>500</v>
      </c>
      <c r="K9" s="107"/>
      <c r="L9" s="107"/>
    </row>
    <row r="10" spans="2:12" ht="51" x14ac:dyDescent="0.25">
      <c r="B10" s="30">
        <f>+B9+1</f>
        <v>6</v>
      </c>
      <c r="C10" s="39" t="s">
        <v>193</v>
      </c>
      <c r="D10" s="39" t="s">
        <v>194</v>
      </c>
      <c r="E10" s="30"/>
      <c r="F10" s="45">
        <v>100000</v>
      </c>
      <c r="G10" s="64">
        <f t="shared" si="0"/>
        <v>50000000</v>
      </c>
      <c r="H10" s="64">
        <v>39418477</v>
      </c>
      <c r="I10" s="69">
        <f t="shared" si="1"/>
        <v>0.78836954000000004</v>
      </c>
      <c r="J10" s="103">
        <v>128695</v>
      </c>
      <c r="K10" s="188" t="s">
        <v>465</v>
      </c>
      <c r="L10" s="108">
        <f>64346580/500</f>
        <v>128693.16</v>
      </c>
    </row>
    <row r="11" spans="2:12" x14ac:dyDescent="0.25">
      <c r="B11" s="68"/>
      <c r="C11" s="68" t="s">
        <v>7</v>
      </c>
      <c r="D11" s="68"/>
      <c r="E11" s="68"/>
      <c r="F11" s="189">
        <f>SUM(F5:F10)</f>
        <v>137500</v>
      </c>
      <c r="G11" s="68"/>
      <c r="H11" s="68"/>
      <c r="I11" s="68"/>
      <c r="J11" s="103">
        <f>SUM(J5:J10)</f>
        <v>139795</v>
      </c>
      <c r="K11" s="107"/>
      <c r="L11" s="107"/>
    </row>
  </sheetData>
  <pageMargins left="0.7" right="0.7" top="0.75" bottom="0.75" header="0.3" footer="0.3"/>
  <legacy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B2:K12"/>
  <sheetViews>
    <sheetView workbookViewId="0"/>
  </sheetViews>
  <sheetFormatPr baseColWidth="10" defaultColWidth="11.42578125" defaultRowHeight="15" x14ac:dyDescent="0.25"/>
  <cols>
    <col min="2" max="2" width="4.85546875" customWidth="1"/>
    <col min="6" max="6" width="12.42578125" bestFit="1" customWidth="1"/>
    <col min="7" max="7" width="17.85546875" customWidth="1"/>
    <col min="8" max="8" width="16.42578125" customWidth="1"/>
    <col min="10" max="10" width="18.5703125" style="2" customWidth="1"/>
  </cols>
  <sheetData>
    <row r="2" spans="2:11" x14ac:dyDescent="0.25">
      <c r="B2" t="s">
        <v>196</v>
      </c>
    </row>
    <row r="3" spans="2:11" x14ac:dyDescent="0.25">
      <c r="C3" s="179"/>
      <c r="D3" s="179"/>
      <c r="E3" s="179"/>
      <c r="F3" s="179"/>
    </row>
    <row r="4" spans="2:11" x14ac:dyDescent="0.25">
      <c r="C4" s="60" t="s">
        <v>384</v>
      </c>
      <c r="D4" s="60" t="s">
        <v>385</v>
      </c>
      <c r="E4" s="60" t="s">
        <v>386</v>
      </c>
      <c r="F4" s="60"/>
      <c r="G4" s="60" t="s">
        <v>387</v>
      </c>
      <c r="H4" s="60" t="s">
        <v>388</v>
      </c>
      <c r="I4" s="60" t="s">
        <v>389</v>
      </c>
      <c r="J4" s="99" t="s">
        <v>417</v>
      </c>
    </row>
    <row r="5" spans="2:11" ht="140.25" x14ac:dyDescent="0.25">
      <c r="B5" s="30">
        <v>1</v>
      </c>
      <c r="C5" s="50" t="s">
        <v>197</v>
      </c>
      <c r="D5" s="39" t="s">
        <v>198</v>
      </c>
      <c r="E5" s="39" t="s">
        <v>199</v>
      </c>
      <c r="F5" s="45">
        <v>5000</v>
      </c>
      <c r="G5" s="64">
        <f>F5*500</f>
        <v>2500000</v>
      </c>
      <c r="H5" s="64">
        <v>1635950</v>
      </c>
      <c r="I5" s="65">
        <f>+H5/G5</f>
        <v>0.65437999999999996</v>
      </c>
      <c r="J5" s="99">
        <v>2400</v>
      </c>
    </row>
    <row r="6" spans="2:11" ht="102" x14ac:dyDescent="0.25">
      <c r="B6" s="30">
        <f t="shared" ref="B6:B11" si="0">+B5+1</f>
        <v>2</v>
      </c>
      <c r="C6" s="39" t="s">
        <v>466</v>
      </c>
      <c r="D6" s="39" t="s">
        <v>201</v>
      </c>
      <c r="E6" s="39" t="s">
        <v>202</v>
      </c>
      <c r="F6" s="45">
        <v>7000</v>
      </c>
      <c r="G6" s="64">
        <f>F6*500</f>
        <v>3500000</v>
      </c>
      <c r="H6" s="64">
        <v>1003900</v>
      </c>
      <c r="I6" s="65">
        <f>+H6/G6</f>
        <v>0.28682857142857143</v>
      </c>
      <c r="J6" s="172">
        <f>600000*3/500</f>
        <v>3600</v>
      </c>
    </row>
    <row r="7" spans="2:11" ht="140.25" x14ac:dyDescent="0.25">
      <c r="B7" s="30">
        <f t="shared" si="0"/>
        <v>3</v>
      </c>
      <c r="C7" s="50" t="s">
        <v>203</v>
      </c>
      <c r="D7" s="39" t="s">
        <v>204</v>
      </c>
      <c r="E7" s="39" t="s">
        <v>205</v>
      </c>
      <c r="F7" s="45">
        <v>3000</v>
      </c>
      <c r="G7" s="64">
        <f>F7*500</f>
        <v>1500000</v>
      </c>
      <c r="H7" s="64">
        <v>706710</v>
      </c>
      <c r="I7" s="65">
        <f>+H7/G7</f>
        <v>0.47114</v>
      </c>
      <c r="J7" s="99">
        <f>600000*0.006</f>
        <v>3600</v>
      </c>
    </row>
    <row r="8" spans="2:11" ht="76.5" x14ac:dyDescent="0.25">
      <c r="B8" s="30">
        <f t="shared" si="0"/>
        <v>4</v>
      </c>
      <c r="C8" s="39" t="s">
        <v>206</v>
      </c>
      <c r="D8" s="39" t="s">
        <v>207</v>
      </c>
      <c r="E8" s="39" t="s">
        <v>208</v>
      </c>
      <c r="F8" s="45">
        <v>3000</v>
      </c>
      <c r="G8" s="64">
        <f>F8*500</f>
        <v>1500000</v>
      </c>
      <c r="H8" s="64"/>
      <c r="I8" s="65">
        <f>+H8/G8</f>
        <v>0</v>
      </c>
      <c r="J8" s="99">
        <f>600000*0.004</f>
        <v>2400</v>
      </c>
    </row>
    <row r="9" spans="2:11" ht="216.75" x14ac:dyDescent="0.25">
      <c r="B9" s="30">
        <f t="shared" si="0"/>
        <v>5</v>
      </c>
      <c r="C9" s="39" t="s">
        <v>209</v>
      </c>
      <c r="D9" s="39" t="s">
        <v>210</v>
      </c>
      <c r="E9" s="39" t="s">
        <v>211</v>
      </c>
      <c r="F9" s="45"/>
      <c r="G9" s="64"/>
      <c r="H9" s="64"/>
      <c r="I9" s="65"/>
      <c r="J9" s="106">
        <v>2400</v>
      </c>
      <c r="K9">
        <f>600000*2/500</f>
        <v>2400</v>
      </c>
    </row>
    <row r="10" spans="2:11" ht="89.25" x14ac:dyDescent="0.25">
      <c r="B10" s="30">
        <f t="shared" si="0"/>
        <v>6</v>
      </c>
      <c r="C10" s="39" t="s">
        <v>212</v>
      </c>
      <c r="E10" s="45" t="s">
        <v>214</v>
      </c>
      <c r="G10" s="64"/>
      <c r="H10" s="64"/>
      <c r="I10" s="65"/>
      <c r="J10" s="106">
        <f>600000*3/500</f>
        <v>3600</v>
      </c>
    </row>
    <row r="11" spans="2:11" ht="51" x14ac:dyDescent="0.25">
      <c r="B11" s="30">
        <f t="shared" si="0"/>
        <v>7</v>
      </c>
      <c r="C11" s="39" t="s">
        <v>467</v>
      </c>
      <c r="D11" s="39"/>
      <c r="E11" s="39" t="s">
        <v>217</v>
      </c>
      <c r="F11" s="45"/>
      <c r="G11" s="64"/>
      <c r="H11" s="64"/>
      <c r="I11" s="65"/>
      <c r="J11" s="106">
        <f>1000000/500</f>
        <v>2000</v>
      </c>
    </row>
    <row r="12" spans="2:11" x14ac:dyDescent="0.25">
      <c r="B12" s="60"/>
      <c r="C12" s="60" t="s">
        <v>7</v>
      </c>
      <c r="D12" s="60"/>
      <c r="E12" s="60"/>
      <c r="F12" s="60"/>
      <c r="G12" s="60"/>
      <c r="H12" s="60"/>
      <c r="I12" s="60"/>
      <c r="J12" s="99">
        <f>SUM(J5:J11)</f>
        <v>20000</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B2:N10"/>
  <sheetViews>
    <sheetView workbookViewId="0"/>
  </sheetViews>
  <sheetFormatPr baseColWidth="10" defaultColWidth="11.42578125" defaultRowHeight="15" x14ac:dyDescent="0.25"/>
  <cols>
    <col min="6" max="6" width="12.42578125" bestFit="1" customWidth="1"/>
    <col min="7" max="7" width="17.85546875" customWidth="1"/>
    <col min="8" max="8" width="16.42578125" customWidth="1"/>
    <col min="10" max="10" width="21.42578125" style="2" customWidth="1"/>
    <col min="12" max="12" width="13.140625" bestFit="1" customWidth="1"/>
    <col min="13" max="13" width="12.5703125" bestFit="1" customWidth="1"/>
  </cols>
  <sheetData>
    <row r="2" spans="2:14" x14ac:dyDescent="0.25">
      <c r="B2" t="s">
        <v>218</v>
      </c>
    </row>
    <row r="4" spans="2:14" x14ac:dyDescent="0.25">
      <c r="B4" s="60" t="s">
        <v>384</v>
      </c>
      <c r="C4" s="60" t="s">
        <v>385</v>
      </c>
      <c r="D4" s="60" t="s">
        <v>386</v>
      </c>
      <c r="E4" s="60"/>
      <c r="F4" s="60"/>
      <c r="G4" s="60" t="s">
        <v>387</v>
      </c>
      <c r="H4" s="60" t="s">
        <v>388</v>
      </c>
      <c r="I4" s="60" t="s">
        <v>389</v>
      </c>
      <c r="J4" s="99" t="s">
        <v>417</v>
      </c>
    </row>
    <row r="5" spans="2:14" ht="89.25" x14ac:dyDescent="0.25">
      <c r="B5" s="30">
        <v>1</v>
      </c>
      <c r="C5" s="39" t="s">
        <v>219</v>
      </c>
      <c r="D5" s="39" t="s">
        <v>220</v>
      </c>
      <c r="E5" s="39" t="s">
        <v>221</v>
      </c>
      <c r="F5" s="45">
        <v>50000</v>
      </c>
      <c r="G5" s="64">
        <f>F5*500</f>
        <v>25000000</v>
      </c>
      <c r="H5" s="64"/>
      <c r="I5" s="65">
        <f>+H5/G5</f>
        <v>0</v>
      </c>
      <c r="J5" s="99">
        <v>162499</v>
      </c>
      <c r="L5" s="2">
        <f>81249324/500</f>
        <v>162498.64799999999</v>
      </c>
    </row>
    <row r="6" spans="2:14" ht="114.75" x14ac:dyDescent="0.25">
      <c r="B6" s="30">
        <f>+B5+1</f>
        <v>2</v>
      </c>
      <c r="C6" s="39" t="s">
        <v>222</v>
      </c>
      <c r="D6" s="39" t="s">
        <v>223</v>
      </c>
      <c r="E6" s="39" t="s">
        <v>224</v>
      </c>
      <c r="F6" s="45">
        <v>25000</v>
      </c>
      <c r="G6" s="64">
        <f>F6*500</f>
        <v>12500000</v>
      </c>
      <c r="H6" s="64"/>
      <c r="I6" s="65">
        <f>+H6/G6</f>
        <v>0</v>
      </c>
      <c r="J6" s="99">
        <v>26337</v>
      </c>
      <c r="K6">
        <f>+J6*500</f>
        <v>13168500</v>
      </c>
      <c r="L6" s="2">
        <f>13168337/500</f>
        <v>26336.673999999999</v>
      </c>
    </row>
    <row r="7" spans="2:14" ht="89.25" x14ac:dyDescent="0.25">
      <c r="B7" s="30">
        <f>+B6+1</f>
        <v>3</v>
      </c>
      <c r="C7" s="39" t="s">
        <v>225</v>
      </c>
      <c r="D7" s="39" t="s">
        <v>468</v>
      </c>
      <c r="E7" s="39" t="s">
        <v>227</v>
      </c>
      <c r="F7" s="45">
        <v>20000</v>
      </c>
      <c r="G7" s="64">
        <f>F7*500</f>
        <v>10000000</v>
      </c>
      <c r="H7" s="64">
        <v>8460600</v>
      </c>
      <c r="I7" s="65">
        <f>+H7/G7</f>
        <v>0.84606000000000003</v>
      </c>
      <c r="J7" s="99">
        <v>20574</v>
      </c>
      <c r="K7">
        <f>+J7*500</f>
        <v>10287000</v>
      </c>
      <c r="L7">
        <f>10287000/500</f>
        <v>20574</v>
      </c>
    </row>
    <row r="8" spans="2:14" ht="63.75" x14ac:dyDescent="0.25">
      <c r="B8" s="30">
        <f>+B7+1</f>
        <v>4</v>
      </c>
      <c r="C8" s="39" t="s">
        <v>228</v>
      </c>
      <c r="D8" s="39" t="s">
        <v>229</v>
      </c>
      <c r="E8" s="39" t="s">
        <v>230</v>
      </c>
      <c r="F8" s="45">
        <v>3400</v>
      </c>
      <c r="G8" s="64">
        <f>F8*500</f>
        <v>1700000</v>
      </c>
      <c r="H8" s="64">
        <v>1553250</v>
      </c>
      <c r="I8" s="65">
        <f>+H8/G8</f>
        <v>0.91367647058823531</v>
      </c>
      <c r="J8" s="99">
        <v>200</v>
      </c>
      <c r="K8">
        <f>+J8*500</f>
        <v>100000</v>
      </c>
      <c r="M8">
        <f>100000/500</f>
        <v>200</v>
      </c>
    </row>
    <row r="9" spans="2:14" ht="89.25" x14ac:dyDescent="0.25">
      <c r="B9" s="30">
        <f>+B8+1</f>
        <v>5</v>
      </c>
      <c r="C9" s="39" t="s">
        <v>231</v>
      </c>
      <c r="D9" s="39" t="s">
        <v>232</v>
      </c>
      <c r="E9" s="39" t="s">
        <v>233</v>
      </c>
      <c r="F9" s="45">
        <v>77742</v>
      </c>
      <c r="G9" s="64">
        <f>F9*500</f>
        <v>38871000</v>
      </c>
      <c r="H9" s="64">
        <v>6104872</v>
      </c>
      <c r="I9" s="65">
        <f>+H9/G9</f>
        <v>0.15705466800442489</v>
      </c>
      <c r="J9" s="99">
        <v>68000</v>
      </c>
      <c r="K9">
        <f>+J9*500</f>
        <v>34000000</v>
      </c>
      <c r="L9">
        <f>34000000/500</f>
        <v>68000</v>
      </c>
      <c r="M9" s="3">
        <f>+G9-H9</f>
        <v>32766128</v>
      </c>
      <c r="N9">
        <f>+M9/500</f>
        <v>65532.256000000001</v>
      </c>
    </row>
    <row r="10" spans="2:14" x14ac:dyDescent="0.25">
      <c r="B10" s="60"/>
      <c r="C10" s="60" t="s">
        <v>7</v>
      </c>
      <c r="D10" s="60"/>
      <c r="E10" s="60"/>
      <c r="F10" s="60"/>
      <c r="G10" s="60"/>
      <c r="H10" s="60"/>
      <c r="I10" s="60"/>
      <c r="J10" s="99">
        <f>SUM(J5:J9)</f>
        <v>277610</v>
      </c>
    </row>
  </sheetData>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2:AE9"/>
  <sheetViews>
    <sheetView workbookViewId="0"/>
  </sheetViews>
  <sheetFormatPr baseColWidth="10" defaultColWidth="11.42578125" defaultRowHeight="15" x14ac:dyDescent="0.25"/>
  <cols>
    <col min="2" max="2" width="25.42578125" customWidth="1"/>
    <col min="3" max="3" width="24.42578125" customWidth="1"/>
    <col min="4" max="4" width="19.140625" customWidth="1"/>
    <col min="5" max="5" width="22.42578125" customWidth="1"/>
  </cols>
  <sheetData>
    <row r="2" spans="1:31" x14ac:dyDescent="0.25">
      <c r="B2" t="s">
        <v>5</v>
      </c>
    </row>
    <row r="4" spans="1:31" ht="18.75" x14ac:dyDescent="0.3">
      <c r="A4" s="89"/>
      <c r="B4" s="89"/>
      <c r="C4" s="79" t="s">
        <v>372</v>
      </c>
      <c r="D4" s="79" t="s">
        <v>373</v>
      </c>
      <c r="E4" s="79" t="s">
        <v>374</v>
      </c>
    </row>
    <row r="5" spans="1:31" ht="56.25" x14ac:dyDescent="0.3">
      <c r="A5" s="89" t="s">
        <v>469</v>
      </c>
      <c r="B5" s="90" t="s">
        <v>470</v>
      </c>
      <c r="C5" s="91">
        <f>+'C4A'!I17</f>
        <v>398900</v>
      </c>
      <c r="D5" s="91"/>
      <c r="E5" s="91"/>
      <c r="F5" s="62"/>
      <c r="G5" s="62"/>
      <c r="H5" s="62"/>
      <c r="I5" s="62"/>
      <c r="J5" s="62"/>
      <c r="K5" s="62"/>
      <c r="L5" s="62"/>
      <c r="M5" s="62"/>
      <c r="N5" s="62"/>
      <c r="O5" s="62"/>
      <c r="P5" s="62"/>
      <c r="Q5" s="62"/>
      <c r="R5" s="62"/>
      <c r="S5" s="62"/>
      <c r="T5" s="62"/>
      <c r="U5" s="62"/>
      <c r="V5" s="62"/>
      <c r="W5" s="62"/>
      <c r="X5" s="62"/>
      <c r="Y5" s="62"/>
      <c r="Z5" s="62"/>
      <c r="AA5" s="62"/>
      <c r="AB5" s="62"/>
      <c r="AC5" s="62"/>
      <c r="AD5" s="62"/>
      <c r="AE5" s="62"/>
    </row>
    <row r="6" spans="1:31" ht="37.5" x14ac:dyDescent="0.3">
      <c r="A6" s="89" t="s">
        <v>471</v>
      </c>
      <c r="B6" s="92" t="s">
        <v>472</v>
      </c>
      <c r="C6" s="88">
        <f>+'C4B'!I7</f>
        <v>4000</v>
      </c>
      <c r="D6" s="88"/>
      <c r="E6" s="88"/>
      <c r="F6" s="63"/>
      <c r="G6" s="63"/>
      <c r="H6" s="63"/>
      <c r="I6" s="63"/>
      <c r="J6" s="63"/>
      <c r="K6" s="63"/>
      <c r="L6" s="63"/>
      <c r="M6" s="63"/>
      <c r="N6" s="63"/>
      <c r="O6" s="63"/>
      <c r="P6" s="63"/>
      <c r="Q6" s="63"/>
      <c r="R6" s="63"/>
      <c r="S6" s="63"/>
      <c r="T6" s="63"/>
      <c r="U6" s="63"/>
      <c r="V6" s="63"/>
      <c r="W6" s="63"/>
      <c r="X6" s="63"/>
      <c r="Y6" s="63"/>
      <c r="Z6" s="63"/>
      <c r="AA6" s="63"/>
      <c r="AB6" s="63"/>
      <c r="AC6" s="63"/>
      <c r="AD6" s="63"/>
      <c r="AE6" s="63"/>
    </row>
    <row r="7" spans="1:31" ht="56.25" x14ac:dyDescent="0.3">
      <c r="A7" s="89" t="s">
        <v>473</v>
      </c>
      <c r="B7" s="92" t="s">
        <v>474</v>
      </c>
      <c r="C7" s="88">
        <f>+'C4C'!J8</f>
        <v>38566</v>
      </c>
      <c r="D7" s="88"/>
      <c r="E7" s="88"/>
      <c r="F7" s="63"/>
      <c r="G7" s="63"/>
      <c r="H7" s="63"/>
      <c r="I7" s="63"/>
      <c r="J7" s="63"/>
      <c r="K7" s="63"/>
      <c r="L7" s="63"/>
      <c r="M7" s="63"/>
      <c r="N7" s="63"/>
      <c r="O7" s="63"/>
      <c r="P7" s="63"/>
      <c r="Q7" s="63"/>
      <c r="R7" s="63"/>
      <c r="S7" s="63"/>
      <c r="T7" s="63"/>
      <c r="U7" s="63"/>
      <c r="V7" s="63"/>
      <c r="W7" s="63"/>
      <c r="X7" s="63"/>
      <c r="Y7" s="63"/>
      <c r="Z7" s="63"/>
      <c r="AA7" s="63"/>
      <c r="AB7" s="63"/>
      <c r="AC7" s="63"/>
      <c r="AD7" s="63"/>
      <c r="AE7" s="63"/>
    </row>
    <row r="8" spans="1:31" ht="56.25" x14ac:dyDescent="0.3">
      <c r="A8" s="89" t="s">
        <v>475</v>
      </c>
      <c r="B8" s="92" t="s">
        <v>476</v>
      </c>
      <c r="C8" s="88">
        <f>+'C4D'!J7</f>
        <v>3000</v>
      </c>
      <c r="D8" s="88"/>
      <c r="E8" s="88"/>
      <c r="F8" s="63"/>
      <c r="G8" s="63"/>
      <c r="H8" s="63"/>
      <c r="I8" s="63"/>
      <c r="J8" s="63"/>
      <c r="K8" s="63"/>
      <c r="L8" s="63"/>
      <c r="M8" s="63"/>
      <c r="N8" s="63"/>
      <c r="O8" s="63"/>
      <c r="P8" s="63"/>
      <c r="Q8" s="63"/>
      <c r="R8" s="63"/>
      <c r="S8" s="63"/>
      <c r="T8" s="63"/>
      <c r="U8" s="63"/>
      <c r="V8" s="63"/>
      <c r="W8" s="63"/>
      <c r="X8" s="63"/>
      <c r="Y8" s="63"/>
      <c r="Z8" s="63"/>
      <c r="AA8" s="63"/>
      <c r="AB8" s="63"/>
      <c r="AC8" s="63"/>
      <c r="AD8" s="63"/>
      <c r="AE8" s="63"/>
    </row>
    <row r="9" spans="1:31" ht="18.75" x14ac:dyDescent="0.3">
      <c r="A9" s="89"/>
      <c r="B9" s="92" t="s">
        <v>7</v>
      </c>
      <c r="C9" s="89">
        <f>SUM(C5:C8)</f>
        <v>444466</v>
      </c>
      <c r="D9" s="89"/>
      <c r="E9" s="89"/>
    </row>
  </sheetData>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2:L17"/>
  <sheetViews>
    <sheetView workbookViewId="0"/>
  </sheetViews>
  <sheetFormatPr baseColWidth="10" defaultColWidth="11.42578125" defaultRowHeight="15" x14ac:dyDescent="0.25"/>
  <cols>
    <col min="2" max="2" width="22.42578125" style="61" customWidth="1"/>
    <col min="3" max="3" width="33.140625" style="61" customWidth="1"/>
    <col min="6" max="6" width="14.42578125" customWidth="1"/>
    <col min="9" max="9" width="13.5703125" style="2" customWidth="1"/>
  </cols>
  <sheetData>
    <row r="2" spans="1:12" ht="18.75" x14ac:dyDescent="0.25">
      <c r="B2" s="173" t="s">
        <v>239</v>
      </c>
    </row>
    <row r="4" spans="1:12" x14ac:dyDescent="0.25">
      <c r="B4" s="159" t="s">
        <v>384</v>
      </c>
      <c r="C4" s="159" t="s">
        <v>385</v>
      </c>
      <c r="D4" s="68" t="s">
        <v>386</v>
      </c>
      <c r="E4" s="68"/>
      <c r="F4" s="68" t="s">
        <v>387</v>
      </c>
      <c r="G4" s="68" t="s">
        <v>388</v>
      </c>
      <c r="H4" s="68" t="s">
        <v>389</v>
      </c>
      <c r="I4" s="103" t="s">
        <v>417</v>
      </c>
      <c r="J4" s="145" t="s">
        <v>432</v>
      </c>
      <c r="K4" s="145" t="s">
        <v>433</v>
      </c>
    </row>
    <row r="5" spans="1:12" ht="102" x14ac:dyDescent="0.25">
      <c r="A5">
        <v>1</v>
      </c>
      <c r="B5" s="39" t="s">
        <v>240</v>
      </c>
      <c r="C5" s="41" t="s">
        <v>241</v>
      </c>
      <c r="D5" s="50" t="s">
        <v>477</v>
      </c>
      <c r="E5" s="46">
        <v>20000</v>
      </c>
      <c r="F5" s="64">
        <f>E5*500</f>
        <v>10000000</v>
      </c>
      <c r="G5" s="46"/>
      <c r="H5" s="69">
        <f>+G5/F5</f>
        <v>0</v>
      </c>
      <c r="I5" s="103">
        <v>200000</v>
      </c>
    </row>
    <row r="6" spans="1:12" ht="165.75" x14ac:dyDescent="0.25">
      <c r="A6" s="107">
        <f>+A5+1</f>
        <v>2</v>
      </c>
      <c r="B6" s="31" t="s">
        <v>243</v>
      </c>
      <c r="C6" s="31" t="s">
        <v>244</v>
      </c>
      <c r="D6" s="39" t="s">
        <v>245</v>
      </c>
      <c r="E6" s="45">
        <v>5000</v>
      </c>
      <c r="F6" s="64">
        <f>E6*500</f>
        <v>2500000</v>
      </c>
      <c r="G6" s="45"/>
      <c r="H6" s="69">
        <f>+G6/F6</f>
        <v>0</v>
      </c>
      <c r="I6" s="103">
        <v>10000</v>
      </c>
    </row>
    <row r="7" spans="1:12" ht="127.5" x14ac:dyDescent="0.25">
      <c r="A7" s="206">
        <f>+A6+1</f>
        <v>3</v>
      </c>
      <c r="B7" s="207" t="s">
        <v>246</v>
      </c>
      <c r="C7" s="207" t="s">
        <v>247</v>
      </c>
      <c r="D7" s="199" t="s">
        <v>248</v>
      </c>
      <c r="E7" s="208">
        <v>45000</v>
      </c>
      <c r="F7" s="201">
        <f>E7*500</f>
        <v>22500000</v>
      </c>
      <c r="G7" s="208"/>
      <c r="H7" s="203">
        <f>+G7/F7</f>
        <v>0</v>
      </c>
      <c r="I7" s="209">
        <v>45000</v>
      </c>
      <c r="J7" s="206"/>
      <c r="K7" s="206"/>
    </row>
    <row r="8" spans="1:12" ht="38.25" x14ac:dyDescent="0.25">
      <c r="A8">
        <f>+A7+1</f>
        <v>4</v>
      </c>
      <c r="B8" s="31" t="s">
        <v>478</v>
      </c>
      <c r="C8" s="31"/>
      <c r="D8" s="39"/>
      <c r="E8" s="46"/>
      <c r="F8" s="64"/>
      <c r="G8" s="46"/>
      <c r="H8" s="69"/>
      <c r="I8" s="103">
        <v>30000</v>
      </c>
      <c r="J8">
        <v>15000000</v>
      </c>
      <c r="K8">
        <f>+J8/500</f>
        <v>30000</v>
      </c>
    </row>
    <row r="9" spans="1:12" ht="76.5" x14ac:dyDescent="0.25">
      <c r="B9" s="31" t="s">
        <v>262</v>
      </c>
      <c r="C9" s="31" t="s">
        <v>263</v>
      </c>
      <c r="D9" s="39"/>
      <c r="E9" s="46"/>
      <c r="F9" s="64"/>
      <c r="G9" s="46"/>
      <c r="H9" s="69"/>
      <c r="I9" s="96">
        <v>30000</v>
      </c>
    </row>
    <row r="10" spans="1:12" ht="280.5" x14ac:dyDescent="0.25">
      <c r="A10">
        <f>A8+1</f>
        <v>5</v>
      </c>
      <c r="B10" s="31" t="s">
        <v>479</v>
      </c>
      <c r="C10" s="31" t="s">
        <v>480</v>
      </c>
      <c r="D10" s="39" t="s">
        <v>481</v>
      </c>
      <c r="E10" s="46"/>
      <c r="F10" s="64"/>
      <c r="G10" s="46"/>
      <c r="H10" s="69"/>
      <c r="I10" s="187">
        <v>6400</v>
      </c>
      <c r="J10" t="s">
        <v>482</v>
      </c>
      <c r="K10">
        <f>2*700000+1*400000+2*700000</f>
        <v>3200000</v>
      </c>
      <c r="L10" s="61">
        <f>+K10/500</f>
        <v>6400</v>
      </c>
    </row>
    <row r="11" spans="1:12" ht="229.5" x14ac:dyDescent="0.25">
      <c r="A11">
        <f t="shared" ref="A11:A16" si="0">+A10+1</f>
        <v>6</v>
      </c>
      <c r="B11" s="31" t="s">
        <v>483</v>
      </c>
      <c r="C11" s="31" t="s">
        <v>484</v>
      </c>
      <c r="D11" s="39"/>
      <c r="E11" s="46"/>
      <c r="F11" s="64"/>
      <c r="G11" s="46"/>
      <c r="H11" s="69"/>
      <c r="I11" s="187">
        <v>2500</v>
      </c>
      <c r="K11" s="1"/>
    </row>
    <row r="12" spans="1:12" ht="89.25" x14ac:dyDescent="0.25">
      <c r="A12">
        <f t="shared" si="0"/>
        <v>7</v>
      </c>
      <c r="B12" s="31" t="s">
        <v>485</v>
      </c>
      <c r="C12" s="31" t="s">
        <v>486</v>
      </c>
      <c r="D12" s="39"/>
      <c r="E12" s="46"/>
      <c r="F12" s="64"/>
      <c r="G12" s="46"/>
      <c r="H12" s="69"/>
      <c r="I12" s="103">
        <v>40000</v>
      </c>
      <c r="J12">
        <f>20000000/500</f>
        <v>40000</v>
      </c>
    </row>
    <row r="13" spans="1:12" ht="101.25" customHeight="1" x14ac:dyDescent="0.25">
      <c r="A13">
        <f t="shared" si="0"/>
        <v>8</v>
      </c>
      <c r="B13" s="31" t="s">
        <v>487</v>
      </c>
      <c r="C13" s="31" t="s">
        <v>488</v>
      </c>
      <c r="D13" s="39"/>
      <c r="E13" s="46"/>
      <c r="F13" s="64"/>
      <c r="G13" s="46"/>
      <c r="H13" s="69"/>
      <c r="I13" s="103">
        <v>20000</v>
      </c>
    </row>
    <row r="14" spans="1:12" ht="89.25" x14ac:dyDescent="0.25">
      <c r="A14">
        <f t="shared" si="0"/>
        <v>9</v>
      </c>
      <c r="B14" s="31" t="s">
        <v>489</v>
      </c>
      <c r="C14" s="31" t="s">
        <v>490</v>
      </c>
      <c r="D14" s="39"/>
      <c r="E14" s="46"/>
      <c r="F14" s="64"/>
      <c r="G14" s="46"/>
      <c r="H14" s="69"/>
      <c r="I14" s="103"/>
    </row>
    <row r="15" spans="1:12" ht="153" x14ac:dyDescent="0.25">
      <c r="A15">
        <f t="shared" si="0"/>
        <v>10</v>
      </c>
      <c r="B15" s="31" t="s">
        <v>491</v>
      </c>
      <c r="C15" s="31" t="s">
        <v>492</v>
      </c>
      <c r="D15" s="39"/>
      <c r="E15" s="46"/>
      <c r="F15" s="64"/>
      <c r="G15" s="46"/>
      <c r="H15" s="69"/>
      <c r="I15" s="103">
        <v>10000</v>
      </c>
    </row>
    <row r="16" spans="1:12" ht="89.25" x14ac:dyDescent="0.25">
      <c r="A16">
        <f t="shared" si="0"/>
        <v>11</v>
      </c>
      <c r="B16" s="31" t="s">
        <v>493</v>
      </c>
      <c r="C16" s="31" t="s">
        <v>494</v>
      </c>
      <c r="D16" s="39"/>
      <c r="E16" s="46"/>
      <c r="F16" s="64"/>
      <c r="G16" s="46"/>
      <c r="H16" s="69"/>
      <c r="I16" s="103">
        <v>5000</v>
      </c>
    </row>
    <row r="17" spans="2:9" x14ac:dyDescent="0.25">
      <c r="B17" s="73" t="s">
        <v>7</v>
      </c>
      <c r="C17" s="73"/>
      <c r="D17" s="60"/>
      <c r="E17" s="60"/>
      <c r="F17" s="60"/>
      <c r="G17" s="60"/>
      <c r="H17" s="60"/>
      <c r="I17" s="99">
        <f>SUM(I5:I16)</f>
        <v>398900</v>
      </c>
    </row>
  </sheetData>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2:K7"/>
  <sheetViews>
    <sheetView workbookViewId="0"/>
  </sheetViews>
  <sheetFormatPr baseColWidth="10" defaultColWidth="11.42578125" defaultRowHeight="15" x14ac:dyDescent="0.25"/>
  <cols>
    <col min="6" max="6" width="16.5703125" customWidth="1"/>
    <col min="9" max="9" width="19.5703125" style="2" customWidth="1"/>
    <col min="10" max="10" width="12.85546875" bestFit="1" customWidth="1"/>
  </cols>
  <sheetData>
    <row r="2" spans="1:11" x14ac:dyDescent="0.25">
      <c r="B2" t="s">
        <v>265</v>
      </c>
    </row>
    <row r="4" spans="1:11" x14ac:dyDescent="0.25">
      <c r="B4" s="60" t="s">
        <v>384</v>
      </c>
      <c r="C4" s="60" t="s">
        <v>385</v>
      </c>
      <c r="D4" s="60" t="s">
        <v>386</v>
      </c>
      <c r="E4" s="60"/>
      <c r="F4" s="60" t="s">
        <v>387</v>
      </c>
      <c r="G4" s="60" t="s">
        <v>388</v>
      </c>
      <c r="H4" s="60" t="s">
        <v>389</v>
      </c>
      <c r="I4" s="99" t="s">
        <v>417</v>
      </c>
      <c r="J4" s="170" t="s">
        <v>432</v>
      </c>
      <c r="K4" s="170" t="s">
        <v>433</v>
      </c>
    </row>
    <row r="5" spans="1:11" ht="63.75" x14ac:dyDescent="0.25">
      <c r="A5">
        <v>1</v>
      </c>
      <c r="B5" s="39" t="s">
        <v>266</v>
      </c>
      <c r="C5" s="41" t="s">
        <v>267</v>
      </c>
      <c r="D5" s="39" t="s">
        <v>268</v>
      </c>
      <c r="E5" s="45">
        <v>2000</v>
      </c>
      <c r="F5" s="64">
        <f>E5*500</f>
        <v>1000000</v>
      </c>
      <c r="G5" s="64"/>
      <c r="H5" s="65">
        <f>+G5/F5</f>
        <v>0</v>
      </c>
      <c r="I5" s="99">
        <v>1000</v>
      </c>
      <c r="J5" s="2">
        <f>+I5*500</f>
        <v>500000</v>
      </c>
    </row>
    <row r="6" spans="1:11" ht="89.25" x14ac:dyDescent="0.25">
      <c r="A6">
        <f>+A5+1</f>
        <v>2</v>
      </c>
      <c r="B6" s="39" t="s">
        <v>270</v>
      </c>
      <c r="C6" s="39" t="s">
        <v>495</v>
      </c>
      <c r="D6" s="39" t="s">
        <v>272</v>
      </c>
      <c r="E6" s="45">
        <v>3000</v>
      </c>
      <c r="F6" s="64">
        <f>E6*500</f>
        <v>1500000</v>
      </c>
      <c r="G6" s="64"/>
      <c r="H6" s="65">
        <f>+G6/F6</f>
        <v>0</v>
      </c>
      <c r="I6" s="99">
        <v>3000</v>
      </c>
    </row>
    <row r="7" spans="1:11" x14ac:dyDescent="0.25">
      <c r="B7" s="60" t="s">
        <v>7</v>
      </c>
      <c r="C7" s="60"/>
      <c r="D7" s="60"/>
      <c r="E7" s="60"/>
      <c r="F7" s="60"/>
      <c r="G7" s="60"/>
      <c r="H7" s="60"/>
      <c r="I7" s="99">
        <f>SUM(I5:I6)</f>
        <v>4000</v>
      </c>
    </row>
  </sheetData>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B2:M8"/>
  <sheetViews>
    <sheetView workbookViewId="0"/>
  </sheetViews>
  <sheetFormatPr baseColWidth="10" defaultColWidth="11.42578125" defaultRowHeight="15" x14ac:dyDescent="0.25"/>
  <cols>
    <col min="6" max="6" width="13.5703125" customWidth="1"/>
    <col min="7" max="7" width="15.42578125" customWidth="1"/>
    <col min="10" max="10" width="11.85546875" style="2" bestFit="1" customWidth="1"/>
    <col min="12" max="12" width="14.85546875" bestFit="1" customWidth="1"/>
    <col min="13" max="13" width="12.42578125" bestFit="1" customWidth="1"/>
  </cols>
  <sheetData>
    <row r="2" spans="2:13" x14ac:dyDescent="0.25">
      <c r="B2" t="s">
        <v>273</v>
      </c>
    </row>
    <row r="4" spans="2:13" x14ac:dyDescent="0.25">
      <c r="B4" s="68"/>
      <c r="C4" s="68" t="s">
        <v>384</v>
      </c>
      <c r="D4" s="68" t="s">
        <v>385</v>
      </c>
      <c r="E4" s="68" t="s">
        <v>386</v>
      </c>
      <c r="F4" s="68"/>
      <c r="G4" s="68" t="s">
        <v>387</v>
      </c>
      <c r="H4" s="68" t="s">
        <v>388</v>
      </c>
      <c r="I4" s="68" t="s">
        <v>389</v>
      </c>
      <c r="J4" s="103" t="s">
        <v>417</v>
      </c>
      <c r="K4" s="145" t="s">
        <v>432</v>
      </c>
    </row>
    <row r="5" spans="2:13" ht="127.5" x14ac:dyDescent="0.25">
      <c r="B5" s="30">
        <f>1</f>
        <v>1</v>
      </c>
      <c r="C5" s="39" t="s">
        <v>274</v>
      </c>
      <c r="D5" s="41" t="s">
        <v>275</v>
      </c>
      <c r="E5" s="31" t="s">
        <v>276</v>
      </c>
      <c r="F5" s="45">
        <v>12000</v>
      </c>
      <c r="G5" s="64">
        <f>F5*500</f>
        <v>6000000</v>
      </c>
      <c r="H5" s="64"/>
      <c r="I5" s="69">
        <f>+H5/G5</f>
        <v>0</v>
      </c>
      <c r="J5" s="103">
        <v>21566</v>
      </c>
      <c r="M5" s="2">
        <f>10782800/500</f>
        <v>21565.599999999999</v>
      </c>
    </row>
    <row r="6" spans="2:13" ht="114.75" x14ac:dyDescent="0.25">
      <c r="B6" s="30">
        <f>+B5+1</f>
        <v>2</v>
      </c>
      <c r="C6" s="39" t="s">
        <v>277</v>
      </c>
      <c r="D6" s="41" t="s">
        <v>278</v>
      </c>
      <c r="E6" s="31" t="s">
        <v>279</v>
      </c>
      <c r="F6" s="45">
        <v>16000</v>
      </c>
      <c r="G6" s="64">
        <f>F6*500</f>
        <v>8000000</v>
      </c>
      <c r="H6" s="64">
        <v>5379150</v>
      </c>
      <c r="I6" s="69">
        <f>+H6/G6</f>
        <v>0.67239375000000001</v>
      </c>
      <c r="J6" s="103">
        <v>13000</v>
      </c>
      <c r="K6">
        <f>+J6*500</f>
        <v>6500000</v>
      </c>
      <c r="M6" s="2">
        <f>6444452/500</f>
        <v>12888.904</v>
      </c>
    </row>
    <row r="7" spans="2:13" ht="153" x14ac:dyDescent="0.25">
      <c r="B7" s="30">
        <f>+B6+1</f>
        <v>3</v>
      </c>
      <c r="C7" s="39" t="s">
        <v>280</v>
      </c>
      <c r="D7" s="41" t="s">
        <v>281</v>
      </c>
      <c r="E7" s="31" t="s">
        <v>282</v>
      </c>
      <c r="F7" s="45">
        <v>4000</v>
      </c>
      <c r="G7" s="64">
        <f>F7*500</f>
        <v>2000000</v>
      </c>
      <c r="H7" s="64"/>
      <c r="I7" s="69">
        <f>+H7/G7</f>
        <v>0</v>
      </c>
      <c r="J7" s="103">
        <v>4000</v>
      </c>
      <c r="L7" s="2">
        <f>20*40000*2+200*400*6</f>
        <v>2080000</v>
      </c>
    </row>
    <row r="8" spans="2:13" x14ac:dyDescent="0.25">
      <c r="B8" s="60"/>
      <c r="C8" s="39" t="s">
        <v>7</v>
      </c>
      <c r="D8" s="60"/>
      <c r="E8" s="60"/>
      <c r="F8" s="60"/>
      <c r="G8" s="60"/>
      <c r="H8" s="60"/>
      <c r="I8" s="60"/>
      <c r="J8" s="99">
        <f>SUM(J5:J7)</f>
        <v>38566</v>
      </c>
    </row>
  </sheetData>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B2:L7"/>
  <sheetViews>
    <sheetView workbookViewId="0"/>
  </sheetViews>
  <sheetFormatPr baseColWidth="10" defaultColWidth="11.42578125" defaultRowHeight="15" x14ac:dyDescent="0.25"/>
  <cols>
    <col min="3" max="3" width="30.42578125" customWidth="1"/>
    <col min="4" max="4" width="24.42578125" customWidth="1"/>
    <col min="7" max="7" width="14.42578125" customWidth="1"/>
    <col min="10" max="10" width="17.85546875" style="2" customWidth="1"/>
  </cols>
  <sheetData>
    <row r="2" spans="2:12" x14ac:dyDescent="0.25">
      <c r="C2" t="s">
        <v>284</v>
      </c>
    </row>
    <row r="4" spans="2:12" x14ac:dyDescent="0.25">
      <c r="B4" s="68"/>
      <c r="C4" s="68" t="s">
        <v>384</v>
      </c>
      <c r="D4" s="68" t="s">
        <v>385</v>
      </c>
      <c r="E4" s="68" t="s">
        <v>386</v>
      </c>
      <c r="F4" s="68"/>
      <c r="G4" s="68" t="s">
        <v>387</v>
      </c>
      <c r="H4" s="68" t="s">
        <v>388</v>
      </c>
      <c r="I4" s="68" t="s">
        <v>389</v>
      </c>
      <c r="J4" s="96" t="s">
        <v>417</v>
      </c>
    </row>
    <row r="5" spans="2:12" ht="127.5" x14ac:dyDescent="0.25">
      <c r="B5" s="30">
        <f>1</f>
        <v>1</v>
      </c>
      <c r="C5" s="31" t="s">
        <v>285</v>
      </c>
      <c r="D5" s="31" t="s">
        <v>286</v>
      </c>
      <c r="E5" s="31" t="s">
        <v>287</v>
      </c>
      <c r="F5" s="45">
        <v>20000</v>
      </c>
      <c r="G5" s="64">
        <f>F5*500</f>
        <v>10000000</v>
      </c>
      <c r="H5" s="64">
        <v>6059440</v>
      </c>
      <c r="I5" s="69">
        <f>+H5/G5</f>
        <v>0.60594400000000004</v>
      </c>
      <c r="J5" s="96">
        <v>3000</v>
      </c>
      <c r="L5">
        <f>+H5/4/500</f>
        <v>3029.72</v>
      </c>
    </row>
    <row r="6" spans="2:12" ht="127.5" x14ac:dyDescent="0.25">
      <c r="B6" s="176">
        <f>+B5+1</f>
        <v>2</v>
      </c>
      <c r="C6" s="100" t="s">
        <v>496</v>
      </c>
      <c r="D6" s="100" t="s">
        <v>497</v>
      </c>
      <c r="E6" s="100" t="s">
        <v>498</v>
      </c>
      <c r="F6" s="101">
        <v>30000</v>
      </c>
      <c r="G6" s="175">
        <f>F6*500</f>
        <v>15000000</v>
      </c>
      <c r="H6" s="175"/>
      <c r="I6" s="177">
        <f>+H6/G6</f>
        <v>0</v>
      </c>
      <c r="J6" s="178"/>
      <c r="K6" s="174"/>
      <c r="L6" s="174"/>
    </row>
    <row r="7" spans="2:12" x14ac:dyDescent="0.25">
      <c r="B7" s="60"/>
      <c r="C7" s="60" t="s">
        <v>7</v>
      </c>
      <c r="D7" s="60"/>
      <c r="E7" s="60"/>
      <c r="F7" s="60"/>
      <c r="G7" s="60"/>
      <c r="H7" s="60"/>
      <c r="I7" s="60"/>
      <c r="J7" s="99">
        <f>SUM(J5:J6)</f>
        <v>3000</v>
      </c>
    </row>
  </sheetData>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2:AE7"/>
  <sheetViews>
    <sheetView workbookViewId="0"/>
  </sheetViews>
  <sheetFormatPr baseColWidth="10" defaultColWidth="11.42578125" defaultRowHeight="15" x14ac:dyDescent="0.25"/>
  <cols>
    <col min="2" max="2" width="33.42578125" customWidth="1"/>
    <col min="3" max="3" width="19.42578125" customWidth="1"/>
  </cols>
  <sheetData>
    <row r="2" spans="1:31" x14ac:dyDescent="0.25">
      <c r="B2" t="s">
        <v>499</v>
      </c>
    </row>
    <row r="4" spans="1:31" s="110" customFormat="1" ht="18.75" x14ac:dyDescent="0.3">
      <c r="B4" s="89"/>
      <c r="C4" s="79" t="s">
        <v>372</v>
      </c>
      <c r="D4" s="79" t="s">
        <v>373</v>
      </c>
      <c r="E4" s="79" t="s">
        <v>374</v>
      </c>
    </row>
    <row r="5" spans="1:31" s="110" customFormat="1" ht="56.25" x14ac:dyDescent="0.3">
      <c r="A5" s="110">
        <v>1</v>
      </c>
      <c r="B5" s="88" t="s">
        <v>500</v>
      </c>
      <c r="C5" s="113">
        <f>+'C5A'!I9</f>
        <v>43801</v>
      </c>
      <c r="D5" s="88"/>
      <c r="E5" s="88"/>
      <c r="F5" s="111"/>
      <c r="G5" s="112"/>
      <c r="H5" s="112"/>
      <c r="I5" s="112"/>
      <c r="J5" s="112"/>
      <c r="K5" s="112"/>
      <c r="L5" s="112"/>
      <c r="M5" s="112"/>
      <c r="N5" s="112"/>
      <c r="O5" s="112"/>
      <c r="P5" s="112"/>
      <c r="Q5" s="112"/>
      <c r="R5" s="112"/>
      <c r="S5" s="112"/>
      <c r="T5" s="112"/>
      <c r="U5" s="112"/>
      <c r="V5" s="112"/>
      <c r="W5" s="112"/>
      <c r="X5" s="112"/>
      <c r="Y5" s="112"/>
      <c r="Z5" s="112"/>
      <c r="AA5" s="112"/>
      <c r="AB5" s="112"/>
      <c r="AC5" s="112"/>
      <c r="AD5" s="112"/>
      <c r="AE5" s="112"/>
    </row>
    <row r="6" spans="1:31" s="110" customFormat="1" ht="18.75" x14ac:dyDescent="0.3">
      <c r="A6" s="110">
        <v>2</v>
      </c>
      <c r="B6" s="88" t="s">
        <v>501</v>
      </c>
      <c r="C6" s="113">
        <f>+'C5B'!J12</f>
        <v>145208.51799999998</v>
      </c>
      <c r="D6" s="88"/>
      <c r="E6" s="88"/>
      <c r="F6" s="111"/>
      <c r="G6" s="112"/>
      <c r="H6" s="112"/>
      <c r="I6" s="112"/>
      <c r="J6" s="112"/>
      <c r="K6" s="112"/>
      <c r="L6" s="112"/>
      <c r="M6" s="112"/>
      <c r="N6" s="112"/>
      <c r="O6" s="112"/>
      <c r="P6" s="112"/>
      <c r="Q6" s="112"/>
      <c r="R6" s="112"/>
      <c r="S6" s="112"/>
      <c r="T6" s="112"/>
      <c r="U6" s="112"/>
      <c r="V6" s="112"/>
      <c r="W6" s="112"/>
      <c r="X6" s="112"/>
      <c r="Y6" s="112"/>
      <c r="Z6" s="112"/>
      <c r="AA6" s="112"/>
      <c r="AB6" s="112"/>
      <c r="AC6" s="112"/>
      <c r="AD6" s="112"/>
      <c r="AE6" s="112"/>
    </row>
    <row r="7" spans="1:31" s="110" customFormat="1" ht="18.75" x14ac:dyDescent="0.3">
      <c r="B7" s="89" t="s">
        <v>7</v>
      </c>
      <c r="C7" s="114">
        <f>SUM(C5:C6)</f>
        <v>189009.51799999998</v>
      </c>
      <c r="D7" s="89"/>
      <c r="E7" s="89"/>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tint="0.39997558519241921"/>
    <pageSetUpPr fitToPage="1"/>
  </sheetPr>
  <dimension ref="A1:AC98"/>
  <sheetViews>
    <sheetView topLeftCell="A4" zoomScale="140" zoomScaleNormal="140" workbookViewId="0">
      <pane ySplit="4" topLeftCell="A92" activePane="bottomLeft" state="frozen"/>
      <selection activeCell="A4" sqref="A4"/>
      <selection pane="bottomLeft" activeCell="W103" sqref="W103"/>
    </sheetView>
  </sheetViews>
  <sheetFormatPr baseColWidth="10" defaultColWidth="9.140625" defaultRowHeight="12.75" x14ac:dyDescent="0.2"/>
  <cols>
    <col min="1" max="1" width="5.7109375" style="27" customWidth="1"/>
    <col min="2" max="2" width="28.5703125" style="27" customWidth="1"/>
    <col min="3" max="3" width="32.42578125" style="27" customWidth="1"/>
    <col min="4" max="4" width="28.85546875" style="27" hidden="1" customWidth="1"/>
    <col min="5" max="6" width="3.5703125" style="27" hidden="1" customWidth="1"/>
    <col min="7" max="7" width="3.85546875" style="27" hidden="1" customWidth="1"/>
    <col min="8" max="8" width="4.28515625" style="27" hidden="1" customWidth="1"/>
    <col min="9" max="9" width="3.140625" style="27" hidden="1" customWidth="1"/>
    <col min="10" max="11" width="4" style="27" hidden="1" customWidth="1"/>
    <col min="12" max="14" width="3.140625" style="27" hidden="1" customWidth="1"/>
    <col min="15" max="15" width="5" style="27" hidden="1" customWidth="1"/>
    <col min="16" max="16" width="3.85546875" style="27" hidden="1" customWidth="1"/>
    <col min="17" max="17" width="3.140625" style="27" hidden="1" customWidth="1"/>
    <col min="18" max="18" width="3.85546875" style="27" hidden="1" customWidth="1"/>
    <col min="19" max="19" width="4.28515625" style="27" hidden="1" customWidth="1"/>
    <col min="20" max="20" width="4" style="27" hidden="1" customWidth="1"/>
    <col min="21" max="21" width="3.140625" style="27" hidden="1" customWidth="1"/>
    <col min="22" max="22" width="17.7109375" style="27" customWidth="1"/>
    <col min="23" max="23" width="11" style="27" bestFit="1" customWidth="1"/>
    <col min="24" max="24" width="14.28515625" style="27" bestFit="1" customWidth="1"/>
    <col min="25" max="25" width="13.5703125" style="27" customWidth="1"/>
    <col min="26" max="26" width="12" style="27" customWidth="1"/>
    <col min="27" max="27" width="14.5703125" style="27" customWidth="1"/>
    <col min="28" max="28" width="29.85546875" style="27" customWidth="1"/>
    <col min="29" max="29" width="9.140625" style="27" customWidth="1"/>
    <col min="30" max="16384" width="9.140625" style="27"/>
  </cols>
  <sheetData>
    <row r="1" spans="1:28" s="18" customFormat="1" x14ac:dyDescent="0.2">
      <c r="B1" s="19" t="s">
        <v>8</v>
      </c>
      <c r="C1" s="20" t="s">
        <v>9</v>
      </c>
      <c r="E1" s="229"/>
      <c r="F1" s="21"/>
      <c r="G1" s="342"/>
      <c r="H1" s="342"/>
      <c r="I1" s="342"/>
      <c r="J1" s="342"/>
      <c r="K1" s="342"/>
      <c r="L1" s="342"/>
      <c r="M1" s="342"/>
      <c r="N1" s="342"/>
      <c r="O1" s="342"/>
      <c r="P1" s="342"/>
      <c r="Q1" s="342"/>
      <c r="R1" s="342"/>
      <c r="S1" s="342"/>
      <c r="T1" s="342"/>
      <c r="U1" s="342"/>
      <c r="V1" s="342"/>
      <c r="W1" s="342"/>
      <c r="X1" s="342"/>
      <c r="Y1" s="342"/>
      <c r="Z1" s="342"/>
      <c r="AA1" s="342"/>
      <c r="AB1" s="343"/>
    </row>
    <row r="2" spans="1:28" s="18" customFormat="1" x14ac:dyDescent="0.2">
      <c r="B2" s="22" t="s">
        <v>10</v>
      </c>
      <c r="C2" s="18" t="s">
        <v>11</v>
      </c>
      <c r="E2" s="229"/>
      <c r="F2" s="23"/>
      <c r="G2" s="342" t="s">
        <v>12</v>
      </c>
      <c r="H2" s="342"/>
      <c r="I2" s="229"/>
      <c r="J2" s="229"/>
      <c r="K2" s="229"/>
      <c r="L2" s="229"/>
      <c r="M2" s="229"/>
      <c r="N2" s="229"/>
      <c r="O2" s="229"/>
      <c r="P2" s="229"/>
      <c r="Q2" s="229"/>
      <c r="R2" s="229"/>
      <c r="S2" s="229"/>
      <c r="T2" s="229"/>
      <c r="U2" s="229"/>
      <c r="V2" s="229"/>
      <c r="W2" s="229"/>
      <c r="X2" s="229">
        <v>600</v>
      </c>
      <c r="Y2" s="229"/>
      <c r="Z2" s="229"/>
      <c r="AA2" s="229"/>
      <c r="AB2" s="229"/>
    </row>
    <row r="3" spans="1:28" s="18" customFormat="1" x14ac:dyDescent="0.2">
      <c r="B3" s="22" t="s">
        <v>13</v>
      </c>
      <c r="C3" s="18" t="s">
        <v>14</v>
      </c>
      <c r="E3" s="342"/>
      <c r="F3" s="342"/>
      <c r="G3" s="342"/>
      <c r="H3" s="342"/>
      <c r="I3" s="342"/>
      <c r="J3" s="342"/>
      <c r="K3" s="342"/>
      <c r="L3" s="342"/>
      <c r="M3" s="342"/>
      <c r="N3" s="342"/>
      <c r="O3" s="342"/>
      <c r="P3" s="342"/>
      <c r="Q3" s="342"/>
      <c r="R3" s="342"/>
      <c r="S3" s="342"/>
      <c r="T3" s="342"/>
      <c r="U3" s="342"/>
      <c r="V3" s="342"/>
      <c r="W3" s="342"/>
      <c r="X3" s="342"/>
      <c r="Y3" s="342"/>
      <c r="Z3" s="342"/>
      <c r="AA3" s="342"/>
      <c r="AB3" s="342"/>
    </row>
    <row r="4" spans="1:28" s="18" customFormat="1" x14ac:dyDescent="0.2">
      <c r="B4" s="22" t="s">
        <v>15</v>
      </c>
      <c r="C4" s="18" t="s">
        <v>16</v>
      </c>
      <c r="E4" s="229"/>
      <c r="F4" s="24"/>
      <c r="G4" s="342" t="s">
        <v>17</v>
      </c>
      <c r="H4" s="342"/>
      <c r="I4" s="342"/>
      <c r="J4" s="342"/>
      <c r="K4" s="342"/>
      <c r="L4" s="342"/>
      <c r="M4" s="342"/>
      <c r="N4" s="342"/>
      <c r="O4" s="342"/>
      <c r="P4" s="342"/>
      <c r="Q4" s="342"/>
      <c r="R4" s="342"/>
      <c r="S4" s="342"/>
      <c r="T4" s="342"/>
      <c r="U4" s="342"/>
      <c r="V4" s="342"/>
      <c r="W4" s="342"/>
      <c r="X4" s="342"/>
      <c r="Y4" s="342"/>
      <c r="Z4" s="342"/>
      <c r="AA4" s="342"/>
      <c r="AB4" s="343"/>
    </row>
    <row r="5" spans="1:28" s="18" customFormat="1" x14ac:dyDescent="0.2">
      <c r="B5" s="25" t="s">
        <v>18</v>
      </c>
      <c r="C5" s="26" t="s">
        <v>524</v>
      </c>
      <c r="D5" s="26"/>
      <c r="E5" s="344"/>
      <c r="F5" s="344"/>
      <c r="G5" s="344"/>
      <c r="H5" s="344"/>
      <c r="I5" s="344"/>
      <c r="J5" s="344"/>
      <c r="K5" s="344"/>
      <c r="L5" s="344"/>
      <c r="M5" s="344"/>
      <c r="N5" s="344"/>
      <c r="O5" s="344"/>
      <c r="P5" s="344"/>
      <c r="Q5" s="344"/>
      <c r="R5" s="344"/>
      <c r="S5" s="344"/>
      <c r="T5" s="344"/>
      <c r="U5" s="344"/>
      <c r="V5" s="344"/>
      <c r="W5" s="344"/>
      <c r="X5" s="344"/>
      <c r="Y5" s="344"/>
      <c r="Z5" s="344"/>
      <c r="AA5" s="344"/>
      <c r="AB5" s="345"/>
    </row>
    <row r="6" spans="1:28" x14ac:dyDescent="0.2">
      <c r="B6" s="340" t="s">
        <v>19</v>
      </c>
      <c r="C6" s="341" t="s">
        <v>20</v>
      </c>
      <c r="D6" s="333" t="s">
        <v>21</v>
      </c>
      <c r="E6" s="337"/>
      <c r="F6" s="339" t="s">
        <v>525</v>
      </c>
      <c r="G6" s="339"/>
      <c r="H6" s="339"/>
      <c r="I6" s="337"/>
      <c r="J6" s="338" t="s">
        <v>526</v>
      </c>
      <c r="K6" s="338"/>
      <c r="L6" s="338"/>
      <c r="M6" s="337"/>
      <c r="N6" s="339" t="s">
        <v>527</v>
      </c>
      <c r="O6" s="339"/>
      <c r="P6" s="339"/>
      <c r="Q6" s="337"/>
      <c r="R6" s="338" t="s">
        <v>528</v>
      </c>
      <c r="S6" s="338"/>
      <c r="T6" s="338"/>
      <c r="U6" s="337"/>
      <c r="V6" s="333" t="s">
        <v>22</v>
      </c>
      <c r="W6" s="333" t="s">
        <v>23</v>
      </c>
      <c r="X6" s="335" t="s">
        <v>24</v>
      </c>
      <c r="Y6" s="346" t="s">
        <v>567</v>
      </c>
      <c r="Z6" s="333" t="s">
        <v>25</v>
      </c>
      <c r="AA6" s="333" t="s">
        <v>26</v>
      </c>
      <c r="AB6" s="337" t="s">
        <v>27</v>
      </c>
    </row>
    <row r="7" spans="1:28" x14ac:dyDescent="0.2">
      <c r="B7" s="340"/>
      <c r="C7" s="334"/>
      <c r="D7" s="334"/>
      <c r="E7" s="337"/>
      <c r="F7" s="28" t="s">
        <v>28</v>
      </c>
      <c r="G7" s="28" t="s">
        <v>29</v>
      </c>
      <c r="H7" s="28" t="s">
        <v>30</v>
      </c>
      <c r="I7" s="337"/>
      <c r="J7" s="28" t="s">
        <v>31</v>
      </c>
      <c r="K7" s="28" t="s">
        <v>32</v>
      </c>
      <c r="L7" s="28" t="s">
        <v>33</v>
      </c>
      <c r="M7" s="337"/>
      <c r="N7" s="28" t="s">
        <v>34</v>
      </c>
      <c r="O7" s="28" t="s">
        <v>35</v>
      </c>
      <c r="P7" s="28" t="s">
        <v>36</v>
      </c>
      <c r="Q7" s="337"/>
      <c r="R7" s="28" t="s">
        <v>37</v>
      </c>
      <c r="S7" s="28" t="s">
        <v>38</v>
      </c>
      <c r="T7" s="28" t="s">
        <v>39</v>
      </c>
      <c r="U7" s="337"/>
      <c r="V7" s="334"/>
      <c r="W7" s="334"/>
      <c r="X7" s="335"/>
      <c r="Y7" s="347"/>
      <c r="Z7" s="336"/>
      <c r="AA7" s="336"/>
      <c r="AB7" s="337"/>
    </row>
    <row r="8" spans="1:28" x14ac:dyDescent="0.2">
      <c r="B8" s="332" t="s">
        <v>40</v>
      </c>
      <c r="C8" s="332"/>
      <c r="D8" s="332"/>
      <c r="E8" s="332"/>
      <c r="F8" s="332"/>
      <c r="G8" s="332"/>
      <c r="H8" s="332"/>
      <c r="I8" s="332"/>
      <c r="J8" s="332"/>
      <c r="K8" s="332"/>
      <c r="L8" s="332"/>
      <c r="M8" s="332"/>
      <c r="N8" s="332"/>
      <c r="O8" s="332"/>
      <c r="P8" s="332"/>
      <c r="Q8" s="332"/>
      <c r="R8" s="332"/>
      <c r="S8" s="332"/>
      <c r="T8" s="332"/>
      <c r="U8" s="332"/>
      <c r="V8" s="332"/>
      <c r="W8" s="332"/>
      <c r="X8" s="332"/>
      <c r="Y8" s="332"/>
      <c r="Z8" s="332"/>
      <c r="AA8" s="332"/>
      <c r="AB8" s="332"/>
    </row>
    <row r="9" spans="1:28" ht="26.25" x14ac:dyDescent="0.25">
      <c r="A9" s="29" t="s">
        <v>41</v>
      </c>
      <c r="B9" s="320" t="s">
        <v>42</v>
      </c>
      <c r="C9" s="321"/>
      <c r="D9" s="321"/>
      <c r="E9" s="321"/>
      <c r="F9" s="321"/>
      <c r="G9" s="321"/>
      <c r="H9" s="321"/>
      <c r="I9" s="321"/>
      <c r="J9" s="321"/>
      <c r="K9" s="321"/>
      <c r="L9" s="321"/>
      <c r="M9" s="321"/>
      <c r="N9" s="321"/>
      <c r="O9" s="321"/>
      <c r="P9" s="321"/>
      <c r="Q9" s="321"/>
      <c r="R9" s="321"/>
      <c r="S9" s="321"/>
      <c r="T9" s="321"/>
      <c r="U9" s="321"/>
      <c r="V9" s="321"/>
      <c r="W9" s="321"/>
      <c r="X9" s="321"/>
      <c r="Y9" s="321"/>
      <c r="Z9" s="321"/>
      <c r="AA9" s="321"/>
      <c r="AB9" s="322"/>
    </row>
    <row r="10" spans="1:28" ht="63.75" x14ac:dyDescent="0.2">
      <c r="A10" s="30">
        <v>1</v>
      </c>
      <c r="B10" s="31" t="s">
        <v>43</v>
      </c>
      <c r="C10" s="31" t="s">
        <v>542</v>
      </c>
      <c r="D10" s="28"/>
      <c r="E10" s="32"/>
      <c r="F10" s="230" t="s">
        <v>45</v>
      </c>
      <c r="G10" s="230" t="s">
        <v>45</v>
      </c>
      <c r="H10" s="230" t="s">
        <v>45</v>
      </c>
      <c r="I10" s="32"/>
      <c r="J10" s="230" t="s">
        <v>45</v>
      </c>
      <c r="K10" s="230" t="s">
        <v>45</v>
      </c>
      <c r="L10" s="230" t="s">
        <v>45</v>
      </c>
      <c r="M10" s="32"/>
      <c r="N10" s="230" t="s">
        <v>45</v>
      </c>
      <c r="O10" s="230" t="s">
        <v>45</v>
      </c>
      <c r="P10" s="230" t="s">
        <v>45</v>
      </c>
      <c r="Q10" s="32"/>
      <c r="R10" s="230" t="s">
        <v>45</v>
      </c>
      <c r="S10" s="230" t="s">
        <v>45</v>
      </c>
      <c r="T10" s="230" t="s">
        <v>45</v>
      </c>
      <c r="U10" s="32"/>
      <c r="V10" s="31" t="s">
        <v>543</v>
      </c>
      <c r="W10" s="28"/>
      <c r="X10" s="308">
        <f>+Y10/$X$2</f>
        <v>4166.666666666667</v>
      </c>
      <c r="Y10" s="248">
        <v>2500000</v>
      </c>
      <c r="AA10" s="28"/>
      <c r="AB10" s="34" t="s">
        <v>47</v>
      </c>
    </row>
    <row r="11" spans="1:28" ht="25.5" x14ac:dyDescent="0.2">
      <c r="A11" s="30">
        <f t="shared" ref="A11:A27" si="0">+A10+1</f>
        <v>2</v>
      </c>
      <c r="B11" s="31" t="s">
        <v>48</v>
      </c>
      <c r="C11" s="29" t="s">
        <v>49</v>
      </c>
      <c r="D11" s="28"/>
      <c r="E11" s="32"/>
      <c r="F11" s="230"/>
      <c r="G11" s="230"/>
      <c r="H11" s="230"/>
      <c r="I11" s="32"/>
      <c r="J11" s="230"/>
      <c r="K11" s="230" t="s">
        <v>45</v>
      </c>
      <c r="L11" s="230"/>
      <c r="M11" s="32"/>
      <c r="N11" s="230"/>
      <c r="O11" s="230"/>
      <c r="P11" s="230"/>
      <c r="Q11" s="32"/>
      <c r="R11" s="230"/>
      <c r="S11" s="230" t="s">
        <v>45</v>
      </c>
      <c r="T11" s="230"/>
      <c r="U11" s="32"/>
      <c r="V11" s="31" t="s">
        <v>50</v>
      </c>
      <c r="W11" s="28"/>
      <c r="X11" s="308">
        <f t="shared" ref="X11:X27" si="1">+Y11/$X$2</f>
        <v>833.33333333333337</v>
      </c>
      <c r="Y11" s="249">
        <v>500000</v>
      </c>
      <c r="Z11" s="28"/>
      <c r="AA11" s="28"/>
      <c r="AB11" s="34" t="s">
        <v>47</v>
      </c>
    </row>
    <row r="12" spans="1:28" ht="38.25" x14ac:dyDescent="0.2">
      <c r="A12" s="30">
        <f t="shared" si="0"/>
        <v>3</v>
      </c>
      <c r="B12" s="31" t="s">
        <v>51</v>
      </c>
      <c r="C12" s="31" t="s">
        <v>52</v>
      </c>
      <c r="D12" s="28"/>
      <c r="E12" s="32"/>
      <c r="F12" s="230" t="s">
        <v>45</v>
      </c>
      <c r="G12" s="230" t="s">
        <v>45</v>
      </c>
      <c r="H12" s="230" t="s">
        <v>45</v>
      </c>
      <c r="I12" s="32"/>
      <c r="J12" s="230" t="s">
        <v>45</v>
      </c>
      <c r="K12" s="230" t="s">
        <v>45</v>
      </c>
      <c r="L12" s="230" t="s">
        <v>45</v>
      </c>
      <c r="M12" s="32"/>
      <c r="N12" s="230" t="s">
        <v>45</v>
      </c>
      <c r="O12" s="230" t="s">
        <v>45</v>
      </c>
      <c r="P12" s="230" t="s">
        <v>45</v>
      </c>
      <c r="Q12" s="32"/>
      <c r="R12" s="230" t="s">
        <v>45</v>
      </c>
      <c r="S12" s="230" t="s">
        <v>45</v>
      </c>
      <c r="T12" s="230" t="s">
        <v>45</v>
      </c>
      <c r="U12" s="32"/>
      <c r="V12" s="31" t="s">
        <v>53</v>
      </c>
      <c r="W12" s="28"/>
      <c r="X12" s="308">
        <f t="shared" si="1"/>
        <v>80000</v>
      </c>
      <c r="Y12" s="249">
        <v>48000000</v>
      </c>
      <c r="Z12" s="28"/>
      <c r="AA12" s="28"/>
      <c r="AB12" s="34" t="s">
        <v>47</v>
      </c>
    </row>
    <row r="13" spans="1:28" ht="25.5" x14ac:dyDescent="0.2">
      <c r="A13" s="30">
        <f t="shared" si="0"/>
        <v>4</v>
      </c>
      <c r="B13" s="31" t="s">
        <v>54</v>
      </c>
      <c r="C13" s="29" t="s">
        <v>55</v>
      </c>
      <c r="D13" s="28"/>
      <c r="E13" s="32"/>
      <c r="F13" s="230" t="s">
        <v>45</v>
      </c>
      <c r="G13" s="230" t="s">
        <v>45</v>
      </c>
      <c r="H13" s="230" t="s">
        <v>45</v>
      </c>
      <c r="I13" s="32"/>
      <c r="J13" s="230" t="s">
        <v>45</v>
      </c>
      <c r="K13" s="230" t="s">
        <v>45</v>
      </c>
      <c r="L13" s="230" t="s">
        <v>45</v>
      </c>
      <c r="M13" s="32"/>
      <c r="N13" s="230" t="s">
        <v>45</v>
      </c>
      <c r="O13" s="230" t="s">
        <v>45</v>
      </c>
      <c r="P13" s="230" t="s">
        <v>45</v>
      </c>
      <c r="Q13" s="32"/>
      <c r="R13" s="230" t="s">
        <v>45</v>
      </c>
      <c r="S13" s="230" t="s">
        <v>45</v>
      </c>
      <c r="T13" s="230" t="s">
        <v>45</v>
      </c>
      <c r="U13" s="32"/>
      <c r="V13" s="31" t="s">
        <v>56</v>
      </c>
      <c r="W13" s="28"/>
      <c r="X13" s="308">
        <f t="shared" si="1"/>
        <v>4166.666666666667</v>
      </c>
      <c r="Y13" s="249">
        <v>2500000</v>
      </c>
      <c r="Z13" s="28"/>
      <c r="AA13" s="28"/>
      <c r="AB13" s="34" t="s">
        <v>47</v>
      </c>
    </row>
    <row r="14" spans="1:28" ht="48.75" customHeight="1" x14ac:dyDescent="0.2">
      <c r="A14" s="30">
        <f t="shared" si="0"/>
        <v>5</v>
      </c>
      <c r="B14" s="31" t="s">
        <v>57</v>
      </c>
      <c r="C14" s="31" t="s">
        <v>58</v>
      </c>
      <c r="D14" s="28"/>
      <c r="E14" s="32"/>
      <c r="F14" s="230" t="s">
        <v>45</v>
      </c>
      <c r="G14" s="230" t="s">
        <v>45</v>
      </c>
      <c r="H14" s="230" t="s">
        <v>45</v>
      </c>
      <c r="I14" s="32"/>
      <c r="J14" s="230" t="s">
        <v>45</v>
      </c>
      <c r="K14" s="230" t="s">
        <v>45</v>
      </c>
      <c r="L14" s="230" t="s">
        <v>45</v>
      </c>
      <c r="M14" s="32"/>
      <c r="N14" s="230" t="s">
        <v>45</v>
      </c>
      <c r="O14" s="230" t="s">
        <v>45</v>
      </c>
      <c r="P14" s="230" t="s">
        <v>45</v>
      </c>
      <c r="Q14" s="32"/>
      <c r="R14" s="230" t="s">
        <v>45</v>
      </c>
      <c r="S14" s="230" t="s">
        <v>45</v>
      </c>
      <c r="T14" s="230" t="s">
        <v>45</v>
      </c>
      <c r="U14" s="32"/>
      <c r="V14" s="31" t="s">
        <v>59</v>
      </c>
      <c r="W14" s="28"/>
      <c r="X14" s="308">
        <f t="shared" si="1"/>
        <v>8333.3333333333339</v>
      </c>
      <c r="Y14" s="249">
        <v>5000000</v>
      </c>
      <c r="Z14" s="28"/>
      <c r="AA14" s="28"/>
      <c r="AB14" s="34" t="s">
        <v>47</v>
      </c>
    </row>
    <row r="15" spans="1:28" ht="38.25" x14ac:dyDescent="0.2">
      <c r="A15" s="30">
        <f t="shared" si="0"/>
        <v>6</v>
      </c>
      <c r="B15" s="31" t="s">
        <v>537</v>
      </c>
      <c r="C15" s="29" t="s">
        <v>568</v>
      </c>
      <c r="D15" s="28"/>
      <c r="E15" s="32"/>
      <c r="F15" s="230"/>
      <c r="G15" s="230"/>
      <c r="H15" s="230"/>
      <c r="I15" s="32"/>
      <c r="J15" s="230"/>
      <c r="K15" s="230" t="s">
        <v>45</v>
      </c>
      <c r="L15" s="230"/>
      <c r="M15" s="32"/>
      <c r="N15" s="230"/>
      <c r="O15" s="230"/>
      <c r="P15" s="230"/>
      <c r="Q15" s="32"/>
      <c r="R15" s="230"/>
      <c r="S15" s="230"/>
      <c r="T15" s="230"/>
      <c r="U15" s="32"/>
      <c r="V15" s="31" t="s">
        <v>536</v>
      </c>
      <c r="W15" s="28"/>
      <c r="X15" s="308">
        <f t="shared" si="1"/>
        <v>16417.904083333331</v>
      </c>
      <c r="Y15" s="249">
        <f>17014849*5%+9000000</f>
        <v>9850742.4499999993</v>
      </c>
      <c r="Z15" s="28"/>
      <c r="AA15" s="28"/>
      <c r="AB15" s="34" t="s">
        <v>47</v>
      </c>
    </row>
    <row r="16" spans="1:28" ht="38.25" x14ac:dyDescent="0.2">
      <c r="A16" s="30">
        <f t="shared" si="0"/>
        <v>7</v>
      </c>
      <c r="B16" s="31" t="s">
        <v>63</v>
      </c>
      <c r="C16" s="29" t="s">
        <v>64</v>
      </c>
      <c r="D16" s="28"/>
      <c r="E16" s="32"/>
      <c r="F16" s="230"/>
      <c r="G16" s="230" t="s">
        <v>45</v>
      </c>
      <c r="H16" s="230"/>
      <c r="I16" s="32"/>
      <c r="J16" s="230"/>
      <c r="K16" s="230"/>
      <c r="L16" s="230"/>
      <c r="M16" s="32"/>
      <c r="N16" s="230"/>
      <c r="O16" s="230"/>
      <c r="P16" s="230"/>
      <c r="Q16" s="32"/>
      <c r="R16" s="230"/>
      <c r="S16" s="230"/>
      <c r="T16" s="230"/>
      <c r="U16" s="32"/>
      <c r="V16" s="31" t="s">
        <v>65</v>
      </c>
      <c r="W16" s="28"/>
      <c r="X16" s="308">
        <f t="shared" si="1"/>
        <v>1666.6666666666667</v>
      </c>
      <c r="Y16" s="249">
        <v>1000000</v>
      </c>
      <c r="Z16" s="28"/>
      <c r="AA16" s="28"/>
      <c r="AB16" s="34" t="s">
        <v>47</v>
      </c>
    </row>
    <row r="17" spans="1:28" ht="39.75" customHeight="1" x14ac:dyDescent="0.2">
      <c r="A17" s="30">
        <f t="shared" si="0"/>
        <v>8</v>
      </c>
      <c r="B17" s="31" t="s">
        <v>66</v>
      </c>
      <c r="C17" s="31" t="s">
        <v>67</v>
      </c>
      <c r="D17" s="28"/>
      <c r="E17" s="32"/>
      <c r="F17" s="230"/>
      <c r="G17" s="230" t="s">
        <v>45</v>
      </c>
      <c r="H17" s="230"/>
      <c r="I17" s="32"/>
      <c r="J17" s="230"/>
      <c r="K17" s="230" t="s">
        <v>45</v>
      </c>
      <c r="L17" s="230"/>
      <c r="M17" s="32"/>
      <c r="N17" s="230"/>
      <c r="O17" s="230" t="s">
        <v>45</v>
      </c>
      <c r="P17" s="230"/>
      <c r="Q17" s="32"/>
      <c r="R17" s="230"/>
      <c r="S17" s="230" t="s">
        <v>45</v>
      </c>
      <c r="T17" s="230"/>
      <c r="U17" s="32"/>
      <c r="V17" s="31" t="s">
        <v>68</v>
      </c>
      <c r="W17" s="28"/>
      <c r="X17" s="308">
        <f t="shared" si="1"/>
        <v>1333.3333333333333</v>
      </c>
      <c r="Y17" s="249">
        <v>800000</v>
      </c>
      <c r="Z17" s="28"/>
      <c r="AA17" s="28"/>
      <c r="AB17" s="34" t="s">
        <v>47</v>
      </c>
    </row>
    <row r="18" spans="1:28" ht="76.5" x14ac:dyDescent="0.2">
      <c r="A18" s="30">
        <f t="shared" si="0"/>
        <v>9</v>
      </c>
      <c r="B18" s="31" t="s">
        <v>69</v>
      </c>
      <c r="C18" s="39" t="s">
        <v>570</v>
      </c>
      <c r="D18" s="28"/>
      <c r="E18" s="32"/>
      <c r="F18" s="230" t="s">
        <v>45</v>
      </c>
      <c r="G18" s="230" t="s">
        <v>45</v>
      </c>
      <c r="H18" s="230" t="s">
        <v>45</v>
      </c>
      <c r="I18" s="32"/>
      <c r="J18" s="230" t="s">
        <v>45</v>
      </c>
      <c r="K18" s="230" t="s">
        <v>45</v>
      </c>
      <c r="L18" s="230" t="s">
        <v>45</v>
      </c>
      <c r="M18" s="32"/>
      <c r="N18" s="230" t="s">
        <v>45</v>
      </c>
      <c r="O18" s="230" t="s">
        <v>45</v>
      </c>
      <c r="P18" s="230" t="s">
        <v>45</v>
      </c>
      <c r="Q18" s="32"/>
      <c r="R18" s="230" t="s">
        <v>45</v>
      </c>
      <c r="S18" s="230" t="s">
        <v>45</v>
      </c>
      <c r="T18" s="230" t="s">
        <v>45</v>
      </c>
      <c r="U18" s="32"/>
      <c r="V18" s="31" t="s">
        <v>71</v>
      </c>
      <c r="W18" s="28"/>
      <c r="X18" s="308">
        <f t="shared" si="1"/>
        <v>16666.666666666668</v>
      </c>
      <c r="Y18" s="249">
        <v>10000000</v>
      </c>
      <c r="Z18" s="28"/>
      <c r="AA18" s="28"/>
      <c r="AB18" s="34" t="s">
        <v>47</v>
      </c>
    </row>
    <row r="19" spans="1:28" ht="41.25" customHeight="1" x14ac:dyDescent="0.2">
      <c r="A19" s="30">
        <f t="shared" si="0"/>
        <v>10</v>
      </c>
      <c r="B19" s="31" t="s">
        <v>72</v>
      </c>
      <c r="C19" s="31" t="s">
        <v>73</v>
      </c>
      <c r="D19" s="28"/>
      <c r="E19" s="32"/>
      <c r="F19" s="230"/>
      <c r="G19" s="230"/>
      <c r="H19" s="230" t="s">
        <v>45</v>
      </c>
      <c r="I19" s="32"/>
      <c r="J19" s="230"/>
      <c r="K19" s="230"/>
      <c r="L19" s="230" t="s">
        <v>45</v>
      </c>
      <c r="M19" s="32"/>
      <c r="N19" s="230"/>
      <c r="O19" s="230"/>
      <c r="P19" s="230"/>
      <c r="Q19" s="32"/>
      <c r="R19" s="230"/>
      <c r="S19" s="230" t="s">
        <v>45</v>
      </c>
      <c r="T19" s="230"/>
      <c r="U19" s="32"/>
      <c r="V19" s="31" t="s">
        <v>74</v>
      </c>
      <c r="W19" s="28"/>
      <c r="X19" s="308">
        <f t="shared" si="1"/>
        <v>1500</v>
      </c>
      <c r="Y19" s="249">
        <f>225000*4</f>
        <v>900000</v>
      </c>
      <c r="Z19" s="28"/>
      <c r="AA19" s="28"/>
      <c r="AB19" s="34" t="s">
        <v>47</v>
      </c>
    </row>
    <row r="20" spans="1:28" ht="25.5" x14ac:dyDescent="0.2">
      <c r="A20" s="30">
        <f t="shared" si="0"/>
        <v>11</v>
      </c>
      <c r="B20" s="31" t="s">
        <v>75</v>
      </c>
      <c r="C20" s="29" t="s">
        <v>569</v>
      </c>
      <c r="D20" s="28"/>
      <c r="E20" s="32"/>
      <c r="F20" s="230" t="s">
        <v>45</v>
      </c>
      <c r="G20" s="230" t="s">
        <v>45</v>
      </c>
      <c r="H20" s="230" t="s">
        <v>45</v>
      </c>
      <c r="I20" s="32"/>
      <c r="J20" s="230" t="s">
        <v>45</v>
      </c>
      <c r="K20" s="230" t="s">
        <v>45</v>
      </c>
      <c r="L20" s="230" t="s">
        <v>45</v>
      </c>
      <c r="M20" s="32"/>
      <c r="N20" s="230" t="s">
        <v>45</v>
      </c>
      <c r="O20" s="230" t="s">
        <v>45</v>
      </c>
      <c r="P20" s="230" t="s">
        <v>45</v>
      </c>
      <c r="Q20" s="32"/>
      <c r="R20" s="230" t="s">
        <v>45</v>
      </c>
      <c r="S20" s="230" t="s">
        <v>45</v>
      </c>
      <c r="T20" s="230" t="s">
        <v>45</v>
      </c>
      <c r="U20" s="32"/>
      <c r="V20" s="31" t="s">
        <v>77</v>
      </c>
      <c r="W20" s="28"/>
      <c r="X20" s="308">
        <f t="shared" si="1"/>
        <v>116.66666666666667</v>
      </c>
      <c r="Y20" s="249">
        <v>70000</v>
      </c>
      <c r="Z20" s="28"/>
      <c r="AA20" s="28"/>
      <c r="AB20" s="34" t="s">
        <v>47</v>
      </c>
    </row>
    <row r="21" spans="1:28" ht="38.25" x14ac:dyDescent="0.2">
      <c r="A21" s="30">
        <f t="shared" si="0"/>
        <v>12</v>
      </c>
      <c r="B21" s="31" t="s">
        <v>78</v>
      </c>
      <c r="C21" s="29" t="s">
        <v>79</v>
      </c>
      <c r="D21" s="28"/>
      <c r="E21" s="32"/>
      <c r="F21" s="230" t="s">
        <v>45</v>
      </c>
      <c r="G21" s="230" t="s">
        <v>45</v>
      </c>
      <c r="H21" s="230" t="s">
        <v>45</v>
      </c>
      <c r="I21" s="32"/>
      <c r="J21" s="230" t="s">
        <v>45</v>
      </c>
      <c r="K21" s="230" t="s">
        <v>45</v>
      </c>
      <c r="L21" s="230" t="s">
        <v>45</v>
      </c>
      <c r="M21" s="32"/>
      <c r="N21" s="230" t="s">
        <v>45</v>
      </c>
      <c r="O21" s="230" t="s">
        <v>45</v>
      </c>
      <c r="P21" s="230" t="s">
        <v>45</v>
      </c>
      <c r="Q21" s="32"/>
      <c r="R21" s="230" t="s">
        <v>45</v>
      </c>
      <c r="S21" s="230" t="s">
        <v>45</v>
      </c>
      <c r="T21" s="230" t="s">
        <v>45</v>
      </c>
      <c r="U21" s="32"/>
      <c r="V21" s="31" t="s">
        <v>80</v>
      </c>
      <c r="W21" s="28"/>
      <c r="X21" s="308">
        <f t="shared" si="1"/>
        <v>20000</v>
      </c>
      <c r="Y21" s="249">
        <v>12000000</v>
      </c>
      <c r="Z21" s="28"/>
      <c r="AA21" s="28"/>
      <c r="AB21" s="34" t="s">
        <v>47</v>
      </c>
    </row>
    <row r="22" spans="1:28" ht="38.25" x14ac:dyDescent="0.2">
      <c r="A22" s="30">
        <f t="shared" si="0"/>
        <v>13</v>
      </c>
      <c r="B22" s="31" t="s">
        <v>81</v>
      </c>
      <c r="C22" s="29" t="s">
        <v>82</v>
      </c>
      <c r="D22" s="28"/>
      <c r="E22" s="32"/>
      <c r="F22" s="230" t="s">
        <v>45</v>
      </c>
      <c r="G22" s="230" t="s">
        <v>45</v>
      </c>
      <c r="H22" s="230" t="s">
        <v>45</v>
      </c>
      <c r="I22" s="32"/>
      <c r="J22" s="230" t="s">
        <v>45</v>
      </c>
      <c r="K22" s="230" t="s">
        <v>45</v>
      </c>
      <c r="L22" s="230" t="s">
        <v>45</v>
      </c>
      <c r="M22" s="32"/>
      <c r="N22" s="230" t="s">
        <v>45</v>
      </c>
      <c r="O22" s="230" t="s">
        <v>45</v>
      </c>
      <c r="P22" s="230" t="s">
        <v>45</v>
      </c>
      <c r="Q22" s="32"/>
      <c r="R22" s="230" t="s">
        <v>45</v>
      </c>
      <c r="S22" s="230" t="s">
        <v>45</v>
      </c>
      <c r="T22" s="230" t="s">
        <v>45</v>
      </c>
      <c r="U22" s="32"/>
      <c r="V22" s="31" t="s">
        <v>83</v>
      </c>
      <c r="W22" s="28"/>
      <c r="X22" s="308">
        <f t="shared" si="1"/>
        <v>8116.666666666667</v>
      </c>
      <c r="Y22" s="249">
        <v>4870000</v>
      </c>
      <c r="Z22" s="28"/>
      <c r="AA22" s="28"/>
      <c r="AB22" s="34" t="s">
        <v>47</v>
      </c>
    </row>
    <row r="23" spans="1:28" ht="38.25" x14ac:dyDescent="0.2">
      <c r="A23" s="30">
        <f t="shared" si="0"/>
        <v>14</v>
      </c>
      <c r="B23" s="31" t="s">
        <v>84</v>
      </c>
      <c r="C23" s="29" t="s">
        <v>85</v>
      </c>
      <c r="D23" s="28"/>
      <c r="E23" s="32"/>
      <c r="F23" s="230" t="s">
        <v>45</v>
      </c>
      <c r="G23" s="230" t="s">
        <v>45</v>
      </c>
      <c r="H23" s="230" t="s">
        <v>45</v>
      </c>
      <c r="I23" s="32"/>
      <c r="J23" s="230" t="s">
        <v>45</v>
      </c>
      <c r="K23" s="230" t="s">
        <v>45</v>
      </c>
      <c r="L23" s="230" t="s">
        <v>45</v>
      </c>
      <c r="M23" s="32"/>
      <c r="N23" s="230" t="s">
        <v>45</v>
      </c>
      <c r="O23" s="230" t="s">
        <v>45</v>
      </c>
      <c r="P23" s="230" t="s">
        <v>45</v>
      </c>
      <c r="Q23" s="32"/>
      <c r="R23" s="230" t="s">
        <v>45</v>
      </c>
      <c r="S23" s="230" t="s">
        <v>45</v>
      </c>
      <c r="T23" s="230" t="s">
        <v>45</v>
      </c>
      <c r="U23" s="32"/>
      <c r="V23" s="31" t="s">
        <v>86</v>
      </c>
      <c r="W23" s="28"/>
      <c r="X23" s="308">
        <f t="shared" si="1"/>
        <v>26666.666666666668</v>
      </c>
      <c r="Y23" s="249">
        <v>16000000</v>
      </c>
      <c r="Z23" s="28"/>
      <c r="AA23" s="28"/>
      <c r="AB23" s="34" t="s">
        <v>47</v>
      </c>
    </row>
    <row r="24" spans="1:28" ht="38.25" x14ac:dyDescent="0.2">
      <c r="A24" s="30">
        <f t="shared" si="0"/>
        <v>15</v>
      </c>
      <c r="B24" s="31" t="s">
        <v>87</v>
      </c>
      <c r="C24" s="29" t="s">
        <v>88</v>
      </c>
      <c r="D24" s="28"/>
      <c r="E24" s="32"/>
      <c r="F24" s="230" t="s">
        <v>45</v>
      </c>
      <c r="G24" s="230" t="s">
        <v>45</v>
      </c>
      <c r="H24" s="230" t="s">
        <v>45</v>
      </c>
      <c r="I24" s="32"/>
      <c r="J24" s="230" t="s">
        <v>45</v>
      </c>
      <c r="K24" s="230" t="s">
        <v>45</v>
      </c>
      <c r="L24" s="230" t="s">
        <v>45</v>
      </c>
      <c r="M24" s="32"/>
      <c r="N24" s="230" t="s">
        <v>45</v>
      </c>
      <c r="O24" s="230" t="s">
        <v>45</v>
      </c>
      <c r="P24" s="230" t="s">
        <v>45</v>
      </c>
      <c r="Q24" s="32"/>
      <c r="R24" s="230" t="s">
        <v>45</v>
      </c>
      <c r="S24" s="230" t="s">
        <v>45</v>
      </c>
      <c r="T24" s="230" t="s">
        <v>45</v>
      </c>
      <c r="U24" s="32"/>
      <c r="V24" s="31" t="s">
        <v>89</v>
      </c>
      <c r="W24" s="28"/>
      <c r="X24" s="308">
        <f t="shared" si="1"/>
        <v>4666.666666666667</v>
      </c>
      <c r="Y24" s="249">
        <v>2800000</v>
      </c>
      <c r="Z24" s="28"/>
      <c r="AA24" s="28"/>
      <c r="AB24" s="34" t="s">
        <v>47</v>
      </c>
    </row>
    <row r="25" spans="1:28" ht="51" x14ac:dyDescent="0.2">
      <c r="A25" s="30">
        <f t="shared" si="0"/>
        <v>16</v>
      </c>
      <c r="B25" s="31" t="s">
        <v>90</v>
      </c>
      <c r="C25" s="29" t="s">
        <v>91</v>
      </c>
      <c r="D25" s="28"/>
      <c r="E25" s="32"/>
      <c r="F25" s="230" t="s">
        <v>45</v>
      </c>
      <c r="G25" s="230" t="s">
        <v>45</v>
      </c>
      <c r="H25" s="230" t="s">
        <v>45</v>
      </c>
      <c r="I25" s="32"/>
      <c r="J25" s="230" t="s">
        <v>45</v>
      </c>
      <c r="K25" s="230" t="s">
        <v>45</v>
      </c>
      <c r="L25" s="230" t="s">
        <v>45</v>
      </c>
      <c r="M25" s="32"/>
      <c r="N25" s="230" t="s">
        <v>45</v>
      </c>
      <c r="O25" s="230" t="s">
        <v>45</v>
      </c>
      <c r="P25" s="230" t="s">
        <v>45</v>
      </c>
      <c r="Q25" s="32"/>
      <c r="R25" s="230" t="s">
        <v>45</v>
      </c>
      <c r="S25" s="230" t="s">
        <v>45</v>
      </c>
      <c r="T25" s="230" t="s">
        <v>45</v>
      </c>
      <c r="U25" s="32"/>
      <c r="V25" s="31" t="s">
        <v>92</v>
      </c>
      <c r="W25" s="28"/>
      <c r="X25" s="308">
        <f t="shared" si="1"/>
        <v>12500</v>
      </c>
      <c r="Y25" s="249">
        <v>7500000</v>
      </c>
      <c r="Z25" s="28"/>
      <c r="AA25" s="28"/>
      <c r="AB25" s="34" t="s">
        <v>47</v>
      </c>
    </row>
    <row r="26" spans="1:28" ht="51" x14ac:dyDescent="0.2">
      <c r="A26" s="30">
        <f t="shared" si="0"/>
        <v>17</v>
      </c>
      <c r="B26" s="31" t="s">
        <v>93</v>
      </c>
      <c r="C26" s="31" t="s">
        <v>94</v>
      </c>
      <c r="D26" s="28"/>
      <c r="E26" s="32"/>
      <c r="F26" s="230" t="s">
        <v>45</v>
      </c>
      <c r="G26" s="230"/>
      <c r="H26" s="230"/>
      <c r="I26" s="32"/>
      <c r="J26" s="230"/>
      <c r="K26" s="230"/>
      <c r="L26" s="230"/>
      <c r="M26" s="32"/>
      <c r="N26" s="230"/>
      <c r="O26" s="230"/>
      <c r="P26" s="230"/>
      <c r="Q26" s="32"/>
      <c r="R26" s="230"/>
      <c r="S26" s="230"/>
      <c r="T26" s="230"/>
      <c r="U26" s="32"/>
      <c r="V26" s="31" t="s">
        <v>95</v>
      </c>
      <c r="W26" s="28"/>
      <c r="X26" s="308">
        <f t="shared" si="1"/>
        <v>5833.333333333333</v>
      </c>
      <c r="Y26" s="249">
        <v>3500000</v>
      </c>
      <c r="Z26" s="28"/>
      <c r="AA26" s="28"/>
      <c r="AB26" s="34" t="s">
        <v>47</v>
      </c>
    </row>
    <row r="27" spans="1:28" ht="25.5" x14ac:dyDescent="0.2">
      <c r="A27" s="28">
        <f t="shared" si="0"/>
        <v>18</v>
      </c>
      <c r="B27" s="31" t="s">
        <v>96</v>
      </c>
      <c r="C27" s="31" t="s">
        <v>97</v>
      </c>
      <c r="D27" s="28"/>
      <c r="E27" s="32"/>
      <c r="F27" s="230" t="s">
        <v>45</v>
      </c>
      <c r="G27" s="230" t="s">
        <v>45</v>
      </c>
      <c r="H27" s="230" t="s">
        <v>45</v>
      </c>
      <c r="I27" s="32"/>
      <c r="J27" s="230" t="s">
        <v>45</v>
      </c>
      <c r="K27" s="230" t="s">
        <v>45</v>
      </c>
      <c r="L27" s="230" t="s">
        <v>45</v>
      </c>
      <c r="M27" s="32"/>
      <c r="N27" s="230" t="s">
        <v>45</v>
      </c>
      <c r="O27" s="230" t="s">
        <v>45</v>
      </c>
      <c r="P27" s="230" t="s">
        <v>45</v>
      </c>
      <c r="Q27" s="32"/>
      <c r="R27" s="230" t="s">
        <v>45</v>
      </c>
      <c r="S27" s="230" t="s">
        <v>45</v>
      </c>
      <c r="T27" s="230" t="s">
        <v>45</v>
      </c>
      <c r="U27" s="32"/>
      <c r="V27" s="31" t="s">
        <v>98</v>
      </c>
      <c r="W27" s="28"/>
      <c r="X27" s="308">
        <f t="shared" si="1"/>
        <v>2500</v>
      </c>
      <c r="Y27" s="249">
        <v>1500000</v>
      </c>
      <c r="Z27" s="28"/>
      <c r="AA27" s="28"/>
      <c r="AB27" s="34" t="s">
        <v>47</v>
      </c>
    </row>
    <row r="28" spans="1:28" ht="13.5" x14ac:dyDescent="0.25">
      <c r="A28" s="28"/>
      <c r="B28" s="320" t="s">
        <v>99</v>
      </c>
      <c r="C28" s="321"/>
      <c r="D28" s="321"/>
      <c r="E28" s="321"/>
      <c r="F28" s="321"/>
      <c r="G28" s="321"/>
      <c r="H28" s="321"/>
      <c r="I28" s="321"/>
      <c r="J28" s="321"/>
      <c r="K28" s="321"/>
      <c r="L28" s="321"/>
      <c r="M28" s="321"/>
      <c r="N28" s="321"/>
      <c r="O28" s="321"/>
      <c r="P28" s="321"/>
      <c r="Q28" s="321"/>
      <c r="R28" s="321"/>
      <c r="S28" s="321"/>
      <c r="T28" s="321"/>
      <c r="U28" s="321"/>
      <c r="V28" s="321"/>
      <c r="W28" s="321"/>
      <c r="X28" s="321"/>
      <c r="Y28" s="321"/>
      <c r="Z28" s="321"/>
      <c r="AA28" s="321"/>
      <c r="AB28" s="322"/>
    </row>
    <row r="29" spans="1:28" ht="76.5" x14ac:dyDescent="0.2">
      <c r="A29" s="30">
        <f>+A28+1</f>
        <v>1</v>
      </c>
      <c r="B29" s="31" t="s">
        <v>100</v>
      </c>
      <c r="C29" s="31" t="s">
        <v>101</v>
      </c>
      <c r="D29" s="28"/>
      <c r="E29" s="32"/>
      <c r="F29" s="230"/>
      <c r="G29" s="230" t="s">
        <v>45</v>
      </c>
      <c r="H29" s="230"/>
      <c r="I29" s="32"/>
      <c r="J29" s="230"/>
      <c r="K29" s="230" t="s">
        <v>45</v>
      </c>
      <c r="L29" s="230"/>
      <c r="M29" s="32"/>
      <c r="N29" s="230"/>
      <c r="O29" s="230" t="s">
        <v>45</v>
      </c>
      <c r="P29" s="230"/>
      <c r="Q29" s="32"/>
      <c r="R29" s="230"/>
      <c r="S29" s="230" t="s">
        <v>45</v>
      </c>
      <c r="T29" s="230"/>
      <c r="U29" s="32"/>
      <c r="V29" s="29" t="s">
        <v>102</v>
      </c>
      <c r="W29" s="28"/>
      <c r="X29" s="309">
        <f>+Y29/$X$2</f>
        <v>7684.666666666667</v>
      </c>
      <c r="Y29" s="249">
        <f>3610800+1000000</f>
        <v>4610800</v>
      </c>
      <c r="Z29" s="28"/>
      <c r="AA29" s="28"/>
      <c r="AB29" s="29" t="s">
        <v>103</v>
      </c>
    </row>
    <row r="30" spans="1:28" ht="13.5" x14ac:dyDescent="0.25">
      <c r="A30" s="28"/>
      <c r="B30" s="320" t="s">
        <v>107</v>
      </c>
      <c r="C30" s="321"/>
      <c r="D30" s="321"/>
      <c r="E30" s="321"/>
      <c r="F30" s="321"/>
      <c r="G30" s="321"/>
      <c r="H30" s="321"/>
      <c r="I30" s="321"/>
      <c r="J30" s="321"/>
      <c r="K30" s="321"/>
      <c r="L30" s="321"/>
      <c r="M30" s="321"/>
      <c r="N30" s="321"/>
      <c r="O30" s="321"/>
      <c r="P30" s="321"/>
      <c r="Q30" s="321"/>
      <c r="R30" s="321"/>
      <c r="S30" s="321"/>
      <c r="T30" s="321"/>
      <c r="U30" s="321"/>
      <c r="V30" s="321"/>
      <c r="W30" s="321"/>
      <c r="X30" s="321"/>
      <c r="Y30" s="321"/>
      <c r="Z30" s="321"/>
      <c r="AA30" s="321"/>
      <c r="AB30" s="322"/>
    </row>
    <row r="31" spans="1:28" ht="38.25" x14ac:dyDescent="0.2">
      <c r="A31" s="30">
        <f>+A30+1</f>
        <v>1</v>
      </c>
      <c r="B31" s="31" t="s">
        <v>108</v>
      </c>
      <c r="C31" s="31" t="s">
        <v>109</v>
      </c>
      <c r="D31" s="28"/>
      <c r="E31" s="32"/>
      <c r="F31" s="230"/>
      <c r="G31" s="230"/>
      <c r="H31" s="230"/>
      <c r="I31" s="32"/>
      <c r="J31" s="230"/>
      <c r="K31" s="230"/>
      <c r="L31" s="230" t="s">
        <v>45</v>
      </c>
      <c r="M31" s="32"/>
      <c r="N31" s="230"/>
      <c r="O31" s="230"/>
      <c r="P31" s="230"/>
      <c r="Q31" s="32"/>
      <c r="R31" s="230"/>
      <c r="S31" s="230"/>
      <c r="T31" s="230"/>
      <c r="U31" s="32"/>
      <c r="V31" s="31" t="s">
        <v>110</v>
      </c>
      <c r="W31" s="28"/>
      <c r="X31" s="310">
        <f>+Y31/$X$2</f>
        <v>416.66666666666669</v>
      </c>
      <c r="Y31" s="249">
        <v>250000</v>
      </c>
      <c r="Z31" s="28"/>
      <c r="AA31" s="28"/>
      <c r="AB31" s="29" t="s">
        <v>111</v>
      </c>
    </row>
    <row r="32" spans="1:28" ht="13.5" x14ac:dyDescent="0.25">
      <c r="A32" s="28"/>
      <c r="B32" s="320" t="s">
        <v>115</v>
      </c>
      <c r="C32" s="321"/>
      <c r="D32" s="321"/>
      <c r="E32" s="321"/>
      <c r="F32" s="321"/>
      <c r="G32" s="321"/>
      <c r="H32" s="321"/>
      <c r="I32" s="321"/>
      <c r="J32" s="321"/>
      <c r="K32" s="321"/>
      <c r="L32" s="321"/>
      <c r="M32" s="321"/>
      <c r="N32" s="321"/>
      <c r="O32" s="321"/>
      <c r="P32" s="321"/>
      <c r="Q32" s="321"/>
      <c r="R32" s="321"/>
      <c r="S32" s="321"/>
      <c r="T32" s="321"/>
      <c r="U32" s="321"/>
      <c r="V32" s="321"/>
      <c r="W32" s="321"/>
      <c r="X32" s="321"/>
      <c r="Y32" s="321"/>
      <c r="Z32" s="321"/>
      <c r="AA32" s="321"/>
      <c r="AB32" s="322"/>
    </row>
    <row r="33" spans="1:29" ht="36.75" customHeight="1" x14ac:dyDescent="0.2">
      <c r="A33" s="30">
        <f>+A32+1</f>
        <v>1</v>
      </c>
      <c r="B33" s="31" t="s">
        <v>116</v>
      </c>
      <c r="C33" s="31" t="s">
        <v>117</v>
      </c>
      <c r="D33" s="29" t="s">
        <v>118</v>
      </c>
      <c r="E33" s="32"/>
      <c r="F33" s="230" t="s">
        <v>45</v>
      </c>
      <c r="G33" s="230" t="s">
        <v>45</v>
      </c>
      <c r="H33" s="230" t="s">
        <v>45</v>
      </c>
      <c r="I33" s="32"/>
      <c r="J33" s="230" t="s">
        <v>45</v>
      </c>
      <c r="K33" s="230" t="s">
        <v>45</v>
      </c>
      <c r="L33" s="230" t="s">
        <v>45</v>
      </c>
      <c r="M33" s="32"/>
      <c r="N33" s="230" t="s">
        <v>45</v>
      </c>
      <c r="O33" s="230" t="s">
        <v>45</v>
      </c>
      <c r="P33" s="230" t="s">
        <v>45</v>
      </c>
      <c r="Q33" s="32"/>
      <c r="R33" s="230" t="s">
        <v>45</v>
      </c>
      <c r="S33" s="230" t="s">
        <v>45</v>
      </c>
      <c r="T33" s="230" t="s">
        <v>45</v>
      </c>
      <c r="U33" s="32"/>
      <c r="V33" s="29" t="s">
        <v>119</v>
      </c>
      <c r="W33" s="28"/>
      <c r="X33" s="309">
        <f>+Y33/$X$2</f>
        <v>833.33333333333337</v>
      </c>
      <c r="Y33" s="249">
        <v>500000</v>
      </c>
      <c r="Z33" s="28"/>
      <c r="AA33" s="28"/>
      <c r="AB33" s="29" t="s">
        <v>120</v>
      </c>
    </row>
    <row r="34" spans="1:29" x14ac:dyDescent="0.2">
      <c r="A34" s="28"/>
      <c r="B34" s="323" t="s">
        <v>121</v>
      </c>
      <c r="C34" s="324"/>
      <c r="D34" s="324"/>
      <c r="E34" s="324"/>
      <c r="F34" s="324"/>
      <c r="G34" s="324"/>
      <c r="H34" s="324"/>
      <c r="I34" s="324"/>
      <c r="J34" s="324"/>
      <c r="K34" s="324"/>
      <c r="L34" s="324"/>
      <c r="M34" s="324"/>
      <c r="N34" s="324"/>
      <c r="O34" s="324"/>
      <c r="P34" s="324"/>
      <c r="Q34" s="324"/>
      <c r="R34" s="324"/>
      <c r="S34" s="324"/>
      <c r="T34" s="324"/>
      <c r="U34" s="324"/>
      <c r="V34" s="324"/>
      <c r="W34" s="324"/>
      <c r="X34" s="324"/>
      <c r="Y34" s="324"/>
      <c r="Z34" s="324"/>
      <c r="AA34" s="324"/>
      <c r="AB34" s="325"/>
    </row>
    <row r="35" spans="1:29" ht="13.5" x14ac:dyDescent="0.25">
      <c r="A35" s="28"/>
      <c r="B35" s="320" t="s">
        <v>122</v>
      </c>
      <c r="C35" s="321"/>
      <c r="D35" s="321"/>
      <c r="E35" s="321"/>
      <c r="F35" s="321"/>
      <c r="G35" s="321"/>
      <c r="H35" s="321"/>
      <c r="I35" s="321"/>
      <c r="J35" s="321"/>
      <c r="K35" s="321"/>
      <c r="L35" s="321"/>
      <c r="M35" s="321"/>
      <c r="N35" s="321"/>
      <c r="O35" s="321"/>
      <c r="P35" s="321"/>
      <c r="Q35" s="321"/>
      <c r="R35" s="321"/>
      <c r="S35" s="321"/>
      <c r="T35" s="321"/>
      <c r="U35" s="321"/>
      <c r="V35" s="321"/>
      <c r="W35" s="321"/>
      <c r="X35" s="321"/>
      <c r="Y35" s="321"/>
      <c r="Z35" s="321"/>
      <c r="AA35" s="321"/>
      <c r="AB35" s="322"/>
    </row>
    <row r="36" spans="1:29" ht="63.75" x14ac:dyDescent="0.2">
      <c r="A36" s="30">
        <f>1</f>
        <v>1</v>
      </c>
      <c r="B36" s="31" t="s">
        <v>128</v>
      </c>
      <c r="C36" s="29" t="s">
        <v>129</v>
      </c>
      <c r="D36" s="31" t="s">
        <v>125</v>
      </c>
      <c r="E36" s="32"/>
      <c r="F36" s="230" t="s">
        <v>45</v>
      </c>
      <c r="G36" s="230" t="s">
        <v>45</v>
      </c>
      <c r="H36" s="230" t="s">
        <v>45</v>
      </c>
      <c r="I36" s="32"/>
      <c r="J36" s="230"/>
      <c r="K36" s="230"/>
      <c r="L36" s="230"/>
      <c r="M36" s="32"/>
      <c r="N36" s="230"/>
      <c r="O36" s="230"/>
      <c r="P36" s="230"/>
      <c r="Q36" s="32"/>
      <c r="R36" s="230"/>
      <c r="S36" s="230"/>
      <c r="T36" s="230"/>
      <c r="U36" s="32"/>
      <c r="V36" s="31" t="s">
        <v>126</v>
      </c>
      <c r="W36" s="28"/>
      <c r="X36" s="312">
        <f>+Y36/$X$2</f>
        <v>2500</v>
      </c>
      <c r="Y36" s="238">
        <v>1500000</v>
      </c>
      <c r="Z36" s="28"/>
      <c r="AA36" s="28"/>
      <c r="AB36" s="29" t="s">
        <v>127</v>
      </c>
    </row>
    <row r="37" spans="1:29" ht="13.5" x14ac:dyDescent="0.25">
      <c r="A37" s="28"/>
      <c r="B37" s="320" t="s">
        <v>135</v>
      </c>
      <c r="C37" s="321"/>
      <c r="D37" s="321"/>
      <c r="E37" s="321"/>
      <c r="F37" s="321"/>
      <c r="G37" s="321"/>
      <c r="H37" s="321"/>
      <c r="I37" s="321"/>
      <c r="J37" s="321"/>
      <c r="K37" s="321"/>
      <c r="L37" s="321"/>
      <c r="M37" s="321"/>
      <c r="N37" s="321"/>
      <c r="O37" s="321"/>
      <c r="P37" s="321"/>
      <c r="Q37" s="321"/>
      <c r="R37" s="321"/>
      <c r="S37" s="321"/>
      <c r="T37" s="321"/>
      <c r="U37" s="321"/>
      <c r="V37" s="321"/>
      <c r="W37" s="321"/>
      <c r="X37" s="321"/>
      <c r="Y37" s="321"/>
      <c r="Z37" s="321"/>
      <c r="AA37" s="321"/>
      <c r="AB37" s="322"/>
    </row>
    <row r="38" spans="1:29" ht="89.25" x14ac:dyDescent="0.2">
      <c r="A38" s="38">
        <f>+A37+1</f>
        <v>1</v>
      </c>
      <c r="B38" s="39" t="s">
        <v>544</v>
      </c>
      <c r="C38" s="39" t="s">
        <v>137</v>
      </c>
      <c r="D38" s="31" t="s">
        <v>545</v>
      </c>
      <c r="E38" s="32"/>
      <c r="F38" s="230" t="s">
        <v>45</v>
      </c>
      <c r="G38" s="230" t="s">
        <v>45</v>
      </c>
      <c r="H38" s="230" t="s">
        <v>45</v>
      </c>
      <c r="I38" s="32"/>
      <c r="J38" s="230" t="s">
        <v>45</v>
      </c>
      <c r="K38" s="230" t="s">
        <v>45</v>
      </c>
      <c r="L38" s="230" t="s">
        <v>45</v>
      </c>
      <c r="M38" s="32"/>
      <c r="N38" s="230" t="s">
        <v>45</v>
      </c>
      <c r="O38" s="230" t="s">
        <v>45</v>
      </c>
      <c r="P38" s="230" t="s">
        <v>45</v>
      </c>
      <c r="Q38" s="32"/>
      <c r="R38" s="230" t="s">
        <v>45</v>
      </c>
      <c r="S38" s="230" t="s">
        <v>45</v>
      </c>
      <c r="T38" s="230" t="s">
        <v>45</v>
      </c>
      <c r="U38" s="32"/>
      <c r="V38" s="39" t="s">
        <v>546</v>
      </c>
      <c r="W38" s="28"/>
      <c r="X38" s="312">
        <f>+Y38/$X$2</f>
        <v>23333.333333333332</v>
      </c>
      <c r="Y38" s="249">
        <v>14000000</v>
      </c>
      <c r="Z38" s="28"/>
      <c r="AA38" s="28"/>
      <c r="AB38" s="29" t="s">
        <v>127</v>
      </c>
    </row>
    <row r="39" spans="1:29" ht="63.75" x14ac:dyDescent="0.2">
      <c r="A39" s="38">
        <f>+A38+1</f>
        <v>2</v>
      </c>
      <c r="B39" s="39" t="s">
        <v>140</v>
      </c>
      <c r="C39" s="72" t="s">
        <v>547</v>
      </c>
      <c r="D39" s="28"/>
      <c r="E39" s="32"/>
      <c r="F39" s="230" t="s">
        <v>45</v>
      </c>
      <c r="G39" s="230" t="s">
        <v>45</v>
      </c>
      <c r="H39" s="230" t="s">
        <v>45</v>
      </c>
      <c r="I39" s="32"/>
      <c r="J39" s="230" t="s">
        <v>45</v>
      </c>
      <c r="K39" s="230" t="s">
        <v>45</v>
      </c>
      <c r="L39" s="230" t="s">
        <v>45</v>
      </c>
      <c r="M39" s="32"/>
      <c r="N39" s="230" t="s">
        <v>45</v>
      </c>
      <c r="O39" s="230" t="s">
        <v>45</v>
      </c>
      <c r="P39" s="230" t="s">
        <v>45</v>
      </c>
      <c r="Q39" s="32"/>
      <c r="R39" s="230" t="s">
        <v>45</v>
      </c>
      <c r="S39" s="230" t="s">
        <v>45</v>
      </c>
      <c r="T39" s="230" t="s">
        <v>45</v>
      </c>
      <c r="U39" s="32"/>
      <c r="V39" s="72" t="s">
        <v>142</v>
      </c>
      <c r="W39" s="28"/>
      <c r="X39" s="312">
        <f t="shared" ref="X39:X42" si="2">+Y39/$X$2</f>
        <v>58333.333333333336</v>
      </c>
      <c r="Y39" s="249">
        <v>35000000</v>
      </c>
      <c r="Z39" s="28"/>
      <c r="AA39" s="28"/>
      <c r="AB39" s="29" t="s">
        <v>143</v>
      </c>
    </row>
    <row r="40" spans="1:29" ht="63.75" x14ac:dyDescent="0.2">
      <c r="A40" s="38">
        <f>+A39+1</f>
        <v>3</v>
      </c>
      <c r="B40" s="39" t="s">
        <v>144</v>
      </c>
      <c r="C40" s="72" t="s">
        <v>548</v>
      </c>
      <c r="D40" s="28"/>
      <c r="E40" s="32"/>
      <c r="F40" s="230" t="s">
        <v>45</v>
      </c>
      <c r="G40" s="230" t="s">
        <v>45</v>
      </c>
      <c r="H40" s="230" t="s">
        <v>45</v>
      </c>
      <c r="I40" s="32"/>
      <c r="J40" s="230" t="s">
        <v>45</v>
      </c>
      <c r="K40" s="230" t="s">
        <v>45</v>
      </c>
      <c r="L40" s="230" t="s">
        <v>45</v>
      </c>
      <c r="M40" s="32"/>
      <c r="N40" s="230" t="s">
        <v>45</v>
      </c>
      <c r="O40" s="230" t="s">
        <v>45</v>
      </c>
      <c r="P40" s="230" t="s">
        <v>45</v>
      </c>
      <c r="Q40" s="32"/>
      <c r="R40" s="230" t="s">
        <v>45</v>
      </c>
      <c r="S40" s="230" t="s">
        <v>45</v>
      </c>
      <c r="T40" s="230" t="s">
        <v>45</v>
      </c>
      <c r="U40" s="32"/>
      <c r="V40" s="72" t="s">
        <v>540</v>
      </c>
      <c r="W40" s="28"/>
      <c r="X40" s="312">
        <f t="shared" si="2"/>
        <v>66666.666666666672</v>
      </c>
      <c r="Y40" s="249">
        <v>40000000</v>
      </c>
      <c r="Z40" s="28"/>
      <c r="AA40" s="28"/>
      <c r="AB40" s="29" t="s">
        <v>143</v>
      </c>
    </row>
    <row r="41" spans="1:29" ht="47.25" customHeight="1" x14ac:dyDescent="0.2">
      <c r="A41" s="38">
        <f>+A40+1</f>
        <v>4</v>
      </c>
      <c r="B41" s="39" t="s">
        <v>515</v>
      </c>
      <c r="C41" s="72" t="s">
        <v>514</v>
      </c>
      <c r="D41" s="28"/>
      <c r="E41" s="32"/>
      <c r="F41" s="230" t="s">
        <v>45</v>
      </c>
      <c r="G41" s="230" t="s">
        <v>45</v>
      </c>
      <c r="H41" s="230" t="s">
        <v>45</v>
      </c>
      <c r="I41" s="32"/>
      <c r="J41" s="230" t="s">
        <v>45</v>
      </c>
      <c r="K41" s="230" t="s">
        <v>45</v>
      </c>
      <c r="L41" s="230" t="s">
        <v>45</v>
      </c>
      <c r="M41" s="32"/>
      <c r="N41" s="230"/>
      <c r="O41" s="230"/>
      <c r="P41" s="230"/>
      <c r="Q41" s="32"/>
      <c r="R41" s="230"/>
      <c r="S41" s="230"/>
      <c r="T41" s="230"/>
      <c r="U41" s="32"/>
      <c r="V41" s="72" t="s">
        <v>516</v>
      </c>
      <c r="W41" s="28"/>
      <c r="X41" s="312">
        <f t="shared" si="2"/>
        <v>29166.666666666668</v>
      </c>
      <c r="Y41" s="249">
        <v>17500000</v>
      </c>
      <c r="Z41" s="28"/>
      <c r="AA41" s="28"/>
      <c r="AB41" s="31" t="s">
        <v>517</v>
      </c>
    </row>
    <row r="42" spans="1:29" ht="58.5" customHeight="1" x14ac:dyDescent="0.2">
      <c r="A42" s="38">
        <f>+A41+1</f>
        <v>5</v>
      </c>
      <c r="B42" s="39" t="s">
        <v>551</v>
      </c>
      <c r="C42" s="72" t="s">
        <v>571</v>
      </c>
      <c r="D42" s="28"/>
      <c r="E42" s="32"/>
      <c r="F42" s="230" t="s">
        <v>45</v>
      </c>
      <c r="G42" s="230" t="s">
        <v>45</v>
      </c>
      <c r="H42" s="230" t="s">
        <v>45</v>
      </c>
      <c r="I42" s="32"/>
      <c r="J42" s="230" t="s">
        <v>45</v>
      </c>
      <c r="K42" s="230" t="s">
        <v>45</v>
      </c>
      <c r="L42" s="230" t="s">
        <v>45</v>
      </c>
      <c r="M42" s="32"/>
      <c r="N42" s="230" t="s">
        <v>45</v>
      </c>
      <c r="O42" s="230" t="s">
        <v>45</v>
      </c>
      <c r="P42" s="230" t="s">
        <v>45</v>
      </c>
      <c r="Q42" s="32"/>
      <c r="R42" s="230" t="s">
        <v>45</v>
      </c>
      <c r="S42" s="230" t="s">
        <v>45</v>
      </c>
      <c r="T42" s="230" t="s">
        <v>45</v>
      </c>
      <c r="U42" s="32"/>
      <c r="V42" s="72" t="s">
        <v>552</v>
      </c>
      <c r="W42" s="314" t="s">
        <v>553</v>
      </c>
      <c r="X42" s="312">
        <f t="shared" si="2"/>
        <v>33333.333333333336</v>
      </c>
      <c r="Y42" s="249">
        <v>20000000</v>
      </c>
      <c r="Z42" s="28"/>
      <c r="AA42" s="28"/>
      <c r="AB42" s="29" t="s">
        <v>517</v>
      </c>
    </row>
    <row r="43" spans="1:29" ht="13.5" x14ac:dyDescent="0.25">
      <c r="A43" s="28"/>
      <c r="B43" s="320" t="s">
        <v>147</v>
      </c>
      <c r="C43" s="321"/>
      <c r="D43" s="321"/>
      <c r="E43" s="321"/>
      <c r="F43" s="321"/>
      <c r="G43" s="321"/>
      <c r="H43" s="321"/>
      <c r="I43" s="321"/>
      <c r="J43" s="321"/>
      <c r="K43" s="321"/>
      <c r="L43" s="321"/>
      <c r="M43" s="321"/>
      <c r="N43" s="321"/>
      <c r="O43" s="321"/>
      <c r="P43" s="321"/>
      <c r="Q43" s="321"/>
      <c r="R43" s="321"/>
      <c r="S43" s="321"/>
      <c r="T43" s="321"/>
      <c r="U43" s="321"/>
      <c r="V43" s="321"/>
      <c r="W43" s="321"/>
      <c r="X43" s="321"/>
      <c r="Y43" s="321"/>
      <c r="Z43" s="321"/>
      <c r="AA43" s="321"/>
      <c r="AB43" s="322"/>
    </row>
    <row r="44" spans="1:29" ht="66.75" customHeight="1" x14ac:dyDescent="0.2">
      <c r="A44" s="40">
        <f>+A43+1</f>
        <v>1</v>
      </c>
      <c r="B44" s="31" t="s">
        <v>549</v>
      </c>
      <c r="C44" s="41" t="s">
        <v>550</v>
      </c>
      <c r="D44" s="41" t="s">
        <v>150</v>
      </c>
      <c r="E44" s="32"/>
      <c r="F44" s="230" t="s">
        <v>45</v>
      </c>
      <c r="G44" s="230" t="s">
        <v>45</v>
      </c>
      <c r="H44" s="230" t="s">
        <v>45</v>
      </c>
      <c r="I44" s="32"/>
      <c r="J44" s="230" t="s">
        <v>45</v>
      </c>
      <c r="K44" s="230" t="s">
        <v>45</v>
      </c>
      <c r="L44" s="230" t="s">
        <v>45</v>
      </c>
      <c r="M44" s="32"/>
      <c r="N44" s="230" t="s">
        <v>45</v>
      </c>
      <c r="O44" s="230" t="s">
        <v>45</v>
      </c>
      <c r="P44" s="230" t="s">
        <v>45</v>
      </c>
      <c r="Q44" s="32"/>
      <c r="R44" s="230" t="s">
        <v>45</v>
      </c>
      <c r="S44" s="230" t="s">
        <v>45</v>
      </c>
      <c r="T44" s="230" t="s">
        <v>45</v>
      </c>
      <c r="U44" s="32"/>
      <c r="V44" s="215" t="s">
        <v>151</v>
      </c>
      <c r="W44" s="28"/>
      <c r="X44" s="35">
        <f>+Y44/$X$2</f>
        <v>16666.666666666668</v>
      </c>
      <c r="Y44" s="311">
        <v>10000000</v>
      </c>
      <c r="Z44" s="28"/>
      <c r="AA44" s="28"/>
      <c r="AB44" s="31" t="s">
        <v>152</v>
      </c>
    </row>
    <row r="45" spans="1:29" x14ac:dyDescent="0.2">
      <c r="A45" s="28"/>
      <c r="B45" s="323" t="s">
        <v>153</v>
      </c>
      <c r="C45" s="324"/>
      <c r="D45" s="324"/>
      <c r="E45" s="324"/>
      <c r="F45" s="324"/>
      <c r="G45" s="324"/>
      <c r="H45" s="324"/>
      <c r="I45" s="324"/>
      <c r="J45" s="324"/>
      <c r="K45" s="324"/>
      <c r="L45" s="324"/>
      <c r="M45" s="324"/>
      <c r="N45" s="324"/>
      <c r="O45" s="324"/>
      <c r="P45" s="324"/>
      <c r="Q45" s="324"/>
      <c r="R45" s="324"/>
      <c r="S45" s="324"/>
      <c r="T45" s="324"/>
      <c r="U45" s="324"/>
      <c r="V45" s="324"/>
      <c r="W45" s="324"/>
      <c r="X45" s="324"/>
      <c r="Y45" s="324"/>
      <c r="Z45" s="324"/>
      <c r="AA45" s="324"/>
      <c r="AB45" s="325"/>
    </row>
    <row r="46" spans="1:29" ht="13.5" x14ac:dyDescent="0.25">
      <c r="A46" s="28"/>
      <c r="B46" s="320" t="s">
        <v>154</v>
      </c>
      <c r="C46" s="321"/>
      <c r="D46" s="321"/>
      <c r="E46" s="321"/>
      <c r="F46" s="321"/>
      <c r="G46" s="321"/>
      <c r="H46" s="321"/>
      <c r="I46" s="321"/>
      <c r="J46" s="321"/>
      <c r="K46" s="321"/>
      <c r="L46" s="321"/>
      <c r="M46" s="321"/>
      <c r="N46" s="321"/>
      <c r="O46" s="321"/>
      <c r="P46" s="321"/>
      <c r="Q46" s="321"/>
      <c r="R46" s="321"/>
      <c r="S46" s="321"/>
      <c r="T46" s="321"/>
      <c r="U46" s="321"/>
      <c r="V46" s="321"/>
      <c r="W46" s="321"/>
      <c r="X46" s="321"/>
      <c r="Y46" s="321"/>
      <c r="Z46" s="321"/>
      <c r="AA46" s="321"/>
      <c r="AB46" s="322"/>
    </row>
    <row r="47" spans="1:29" s="231" customFormat="1" ht="51" customHeight="1" x14ac:dyDescent="0.2">
      <c r="A47" s="30">
        <f>+A46+1</f>
        <v>1</v>
      </c>
      <c r="B47" s="39" t="s">
        <v>155</v>
      </c>
      <c r="C47" s="39" t="s">
        <v>557</v>
      </c>
      <c r="D47" s="39" t="s">
        <v>157</v>
      </c>
      <c r="E47" s="42"/>
      <c r="F47" s="43" t="s">
        <v>45</v>
      </c>
      <c r="G47" s="43" t="s">
        <v>45</v>
      </c>
      <c r="H47" s="43" t="s">
        <v>45</v>
      </c>
      <c r="I47" s="42"/>
      <c r="J47" s="43" t="s">
        <v>45</v>
      </c>
      <c r="K47" s="43" t="s">
        <v>45</v>
      </c>
      <c r="L47" s="43" t="s">
        <v>45</v>
      </c>
      <c r="M47" s="42"/>
      <c r="N47" s="43" t="s">
        <v>45</v>
      </c>
      <c r="O47" s="43" t="s">
        <v>45</v>
      </c>
      <c r="P47" s="43" t="s">
        <v>45</v>
      </c>
      <c r="Q47" s="42"/>
      <c r="R47" s="43" t="s">
        <v>45</v>
      </c>
      <c r="S47" s="43" t="s">
        <v>45</v>
      </c>
      <c r="T47" s="43" t="s">
        <v>45</v>
      </c>
      <c r="U47" s="42"/>
      <c r="V47" s="31" t="s">
        <v>158</v>
      </c>
      <c r="W47" s="30"/>
      <c r="X47" s="309">
        <f>+Y47/$X$2</f>
        <v>5000</v>
      </c>
      <c r="Y47" s="249">
        <v>3000000</v>
      </c>
      <c r="Z47" s="30"/>
      <c r="AA47" s="30"/>
      <c r="AB47" s="31" t="s">
        <v>159</v>
      </c>
      <c r="AC47" s="27"/>
    </row>
    <row r="48" spans="1:29" s="231" customFormat="1" ht="63.75" customHeight="1" x14ac:dyDescent="0.2">
      <c r="A48" s="30">
        <f>+A47+1</f>
        <v>2</v>
      </c>
      <c r="B48" s="39" t="s">
        <v>160</v>
      </c>
      <c r="C48" s="39" t="s">
        <v>161</v>
      </c>
      <c r="D48" s="39" t="s">
        <v>157</v>
      </c>
      <c r="E48" s="42"/>
      <c r="F48" s="43" t="s">
        <v>45</v>
      </c>
      <c r="G48" s="43" t="s">
        <v>45</v>
      </c>
      <c r="H48" s="43" t="s">
        <v>45</v>
      </c>
      <c r="I48" s="42"/>
      <c r="J48" s="43" t="s">
        <v>45</v>
      </c>
      <c r="K48" s="43" t="s">
        <v>45</v>
      </c>
      <c r="L48" s="43" t="s">
        <v>45</v>
      </c>
      <c r="M48" s="42"/>
      <c r="N48" s="43" t="s">
        <v>45</v>
      </c>
      <c r="O48" s="43" t="s">
        <v>45</v>
      </c>
      <c r="P48" s="43" t="s">
        <v>45</v>
      </c>
      <c r="Q48" s="42"/>
      <c r="R48" s="43" t="s">
        <v>45</v>
      </c>
      <c r="S48" s="43" t="s">
        <v>45</v>
      </c>
      <c r="T48" s="43" t="s">
        <v>45</v>
      </c>
      <c r="U48" s="42"/>
      <c r="V48" s="31" t="s">
        <v>162</v>
      </c>
      <c r="W48" s="30"/>
      <c r="X48" s="45">
        <f t="shared" ref="X48:X51" si="3">+Y48/$X$2</f>
        <v>6666.666666666667</v>
      </c>
      <c r="Y48" s="238">
        <v>4000000</v>
      </c>
      <c r="Z48" s="30"/>
      <c r="AA48" s="30"/>
      <c r="AB48" s="31" t="s">
        <v>159</v>
      </c>
      <c r="AC48" s="27"/>
    </row>
    <row r="49" spans="1:29" s="231" customFormat="1" ht="54" customHeight="1" x14ac:dyDescent="0.2">
      <c r="A49" s="30">
        <f>+A48+1</f>
        <v>3</v>
      </c>
      <c r="B49" s="39" t="s">
        <v>163</v>
      </c>
      <c r="C49" s="39" t="s">
        <v>164</v>
      </c>
      <c r="D49" s="39" t="s">
        <v>157</v>
      </c>
      <c r="E49" s="42"/>
      <c r="F49" s="43" t="s">
        <v>45</v>
      </c>
      <c r="G49" s="43" t="s">
        <v>45</v>
      </c>
      <c r="H49" s="43" t="s">
        <v>45</v>
      </c>
      <c r="I49" s="42"/>
      <c r="J49" s="43" t="s">
        <v>45</v>
      </c>
      <c r="K49" s="43" t="s">
        <v>45</v>
      </c>
      <c r="L49" s="43" t="s">
        <v>45</v>
      </c>
      <c r="M49" s="42"/>
      <c r="N49" s="43" t="s">
        <v>45</v>
      </c>
      <c r="O49" s="43" t="s">
        <v>45</v>
      </c>
      <c r="P49" s="43" t="s">
        <v>45</v>
      </c>
      <c r="Q49" s="42"/>
      <c r="R49" s="43" t="s">
        <v>45</v>
      </c>
      <c r="S49" s="43" t="s">
        <v>45</v>
      </c>
      <c r="T49" s="43" t="s">
        <v>45</v>
      </c>
      <c r="U49" s="42"/>
      <c r="V49" s="39" t="s">
        <v>165</v>
      </c>
      <c r="W49" s="30"/>
      <c r="X49" s="45">
        <f t="shared" si="3"/>
        <v>4166.666666666667</v>
      </c>
      <c r="Y49" s="238">
        <v>2500000</v>
      </c>
      <c r="Z49" s="30"/>
      <c r="AA49" s="30"/>
      <c r="AB49" s="31" t="s">
        <v>159</v>
      </c>
      <c r="AC49" s="27"/>
    </row>
    <row r="50" spans="1:29" ht="61.5" customHeight="1" x14ac:dyDescent="0.2">
      <c r="A50" s="30">
        <f>+A49+1</f>
        <v>4</v>
      </c>
      <c r="B50" s="39" t="s">
        <v>166</v>
      </c>
      <c r="C50" s="39" t="s">
        <v>556</v>
      </c>
      <c r="D50" s="39" t="s">
        <v>157</v>
      </c>
      <c r="E50" s="32"/>
      <c r="F50" s="230" t="s">
        <v>45</v>
      </c>
      <c r="G50" s="230" t="s">
        <v>45</v>
      </c>
      <c r="H50" s="230" t="s">
        <v>45</v>
      </c>
      <c r="I50" s="32"/>
      <c r="J50" s="230" t="s">
        <v>45</v>
      </c>
      <c r="K50" s="230" t="s">
        <v>45</v>
      </c>
      <c r="L50" s="230" t="s">
        <v>45</v>
      </c>
      <c r="M50" s="32"/>
      <c r="N50" s="230" t="s">
        <v>45</v>
      </c>
      <c r="O50" s="230" t="s">
        <v>45</v>
      </c>
      <c r="P50" s="230" t="s">
        <v>45</v>
      </c>
      <c r="Q50" s="32"/>
      <c r="R50" s="230" t="s">
        <v>45</v>
      </c>
      <c r="S50" s="230" t="s">
        <v>45</v>
      </c>
      <c r="T50" s="230" t="s">
        <v>45</v>
      </c>
      <c r="U50" s="32"/>
      <c r="V50" s="218" t="s">
        <v>168</v>
      </c>
      <c r="W50" s="28"/>
      <c r="X50" s="309">
        <f t="shared" si="3"/>
        <v>3333.3333333333335</v>
      </c>
      <c r="Y50" s="249">
        <v>2000000</v>
      </c>
      <c r="Z50" s="28"/>
      <c r="AA50" s="28"/>
      <c r="AB50" s="31" t="s">
        <v>159</v>
      </c>
    </row>
    <row r="51" spans="1:29" ht="42.75" customHeight="1" x14ac:dyDescent="0.2">
      <c r="A51" s="30">
        <f>+A50+1</f>
        <v>5</v>
      </c>
      <c r="B51" s="39" t="s">
        <v>169</v>
      </c>
      <c r="C51" s="210" t="s">
        <v>558</v>
      </c>
      <c r="D51" s="210"/>
      <c r="E51" s="211"/>
      <c r="F51" s="230" t="s">
        <v>45</v>
      </c>
      <c r="G51" s="230" t="s">
        <v>45</v>
      </c>
      <c r="H51" s="230" t="s">
        <v>45</v>
      </c>
      <c r="I51" s="32"/>
      <c r="J51" s="230" t="s">
        <v>45</v>
      </c>
      <c r="K51" s="230" t="s">
        <v>45</v>
      </c>
      <c r="L51" s="230" t="s">
        <v>45</v>
      </c>
      <c r="M51" s="32"/>
      <c r="N51" s="230" t="s">
        <v>45</v>
      </c>
      <c r="O51" s="230" t="s">
        <v>45</v>
      </c>
      <c r="P51" s="230" t="s">
        <v>45</v>
      </c>
      <c r="Q51" s="32"/>
      <c r="R51" s="230" t="s">
        <v>45</v>
      </c>
      <c r="S51" s="230" t="s">
        <v>45</v>
      </c>
      <c r="T51" s="230" t="s">
        <v>45</v>
      </c>
      <c r="U51" s="211"/>
      <c r="V51" s="216" t="s">
        <v>171</v>
      </c>
      <c r="W51" s="212"/>
      <c r="X51" s="309">
        <f t="shared" si="3"/>
        <v>1666.6666666666667</v>
      </c>
      <c r="Y51" s="313">
        <v>1000000</v>
      </c>
      <c r="Z51" s="212"/>
      <c r="AA51" s="212"/>
      <c r="AB51" s="31" t="s">
        <v>159</v>
      </c>
    </row>
    <row r="52" spans="1:29" ht="13.5" x14ac:dyDescent="0.25">
      <c r="A52" s="28"/>
      <c r="B52" s="348" t="s">
        <v>172</v>
      </c>
      <c r="C52" s="349"/>
      <c r="D52" s="349"/>
      <c r="E52" s="349"/>
      <c r="F52" s="349"/>
      <c r="G52" s="349"/>
      <c r="H52" s="349"/>
      <c r="I52" s="349"/>
      <c r="J52" s="349"/>
      <c r="K52" s="349"/>
      <c r="L52" s="349"/>
      <c r="M52" s="349"/>
      <c r="N52" s="349"/>
      <c r="O52" s="349"/>
      <c r="P52" s="349"/>
      <c r="Q52" s="349"/>
      <c r="R52" s="349"/>
      <c r="S52" s="349"/>
      <c r="T52" s="349"/>
      <c r="U52" s="349"/>
      <c r="V52" s="349"/>
      <c r="W52" s="349"/>
      <c r="X52" s="349"/>
      <c r="Y52" s="349"/>
      <c r="Z52" s="349"/>
      <c r="AA52" s="349"/>
      <c r="AB52" s="350"/>
    </row>
    <row r="53" spans="1:29" s="231" customFormat="1" ht="72" customHeight="1" x14ac:dyDescent="0.2">
      <c r="A53" s="30">
        <f>+A52+1</f>
        <v>1</v>
      </c>
      <c r="B53" s="39" t="s">
        <v>173</v>
      </c>
      <c r="C53" s="39" t="s">
        <v>559</v>
      </c>
      <c r="D53" s="39" t="s">
        <v>157</v>
      </c>
      <c r="E53" s="42"/>
      <c r="F53" s="43" t="s">
        <v>45</v>
      </c>
      <c r="G53" s="43" t="s">
        <v>45</v>
      </c>
      <c r="H53" s="43" t="s">
        <v>45</v>
      </c>
      <c r="I53" s="42"/>
      <c r="J53" s="43" t="s">
        <v>45</v>
      </c>
      <c r="K53" s="43" t="s">
        <v>45</v>
      </c>
      <c r="L53" s="43" t="s">
        <v>45</v>
      </c>
      <c r="M53" s="42"/>
      <c r="N53" s="43" t="s">
        <v>45</v>
      </c>
      <c r="O53" s="43" t="s">
        <v>45</v>
      </c>
      <c r="P53" s="43" t="s">
        <v>45</v>
      </c>
      <c r="Q53" s="42"/>
      <c r="R53" s="43" t="s">
        <v>45</v>
      </c>
      <c r="S53" s="43" t="s">
        <v>45</v>
      </c>
      <c r="T53" s="43" t="s">
        <v>45</v>
      </c>
      <c r="U53" s="42"/>
      <c r="V53" s="29" t="s">
        <v>175</v>
      </c>
      <c r="W53" s="30"/>
      <c r="X53" s="187">
        <f>+Y53/$X$2</f>
        <v>1666.6666666666667</v>
      </c>
      <c r="Y53" s="238">
        <v>1000000</v>
      </c>
      <c r="Z53" s="30"/>
      <c r="AA53" s="30"/>
      <c r="AB53" s="31" t="s">
        <v>159</v>
      </c>
      <c r="AC53" s="27"/>
    </row>
    <row r="54" spans="1:29" s="231" customFormat="1" ht="36" customHeight="1" x14ac:dyDescent="0.2">
      <c r="A54" s="30"/>
      <c r="B54" s="326" t="s">
        <v>179</v>
      </c>
      <c r="C54" s="327"/>
      <c r="D54" s="327"/>
      <c r="E54" s="327"/>
      <c r="F54" s="327"/>
      <c r="G54" s="327"/>
      <c r="H54" s="327"/>
      <c r="I54" s="327"/>
      <c r="J54" s="327"/>
      <c r="K54" s="327"/>
      <c r="L54" s="327"/>
      <c r="M54" s="327"/>
      <c r="N54" s="327"/>
      <c r="O54" s="327"/>
      <c r="P54" s="327"/>
      <c r="Q54" s="327"/>
      <c r="R54" s="327"/>
      <c r="S54" s="327"/>
      <c r="T54" s="327"/>
      <c r="U54" s="327"/>
      <c r="V54" s="327"/>
      <c r="W54" s="327"/>
      <c r="X54" s="327"/>
      <c r="Y54" s="327"/>
      <c r="Z54" s="327"/>
      <c r="AA54" s="327"/>
      <c r="AB54" s="328"/>
      <c r="AC54" s="27"/>
    </row>
    <row r="55" spans="1:29" s="231" customFormat="1" ht="36" customHeight="1" x14ac:dyDescent="0.2">
      <c r="A55" s="30">
        <f>+A54+1</f>
        <v>1</v>
      </c>
      <c r="B55" s="39" t="s">
        <v>180</v>
      </c>
      <c r="C55" s="39" t="s">
        <v>560</v>
      </c>
      <c r="D55" s="39" t="s">
        <v>157</v>
      </c>
      <c r="E55" s="42"/>
      <c r="F55" s="43" t="s">
        <v>45</v>
      </c>
      <c r="G55" s="43" t="s">
        <v>45</v>
      </c>
      <c r="H55" s="43" t="s">
        <v>45</v>
      </c>
      <c r="I55" s="42"/>
      <c r="J55" s="43" t="s">
        <v>45</v>
      </c>
      <c r="K55" s="43" t="s">
        <v>45</v>
      </c>
      <c r="L55" s="43" t="s">
        <v>45</v>
      </c>
      <c r="M55" s="42"/>
      <c r="N55" s="43" t="s">
        <v>45</v>
      </c>
      <c r="O55" s="43" t="s">
        <v>45</v>
      </c>
      <c r="P55" s="43" t="s">
        <v>45</v>
      </c>
      <c r="Q55" s="42"/>
      <c r="R55" s="43" t="s">
        <v>45</v>
      </c>
      <c r="S55" s="43" t="s">
        <v>45</v>
      </c>
      <c r="T55" s="43" t="s">
        <v>45</v>
      </c>
      <c r="U55" s="42"/>
      <c r="V55" s="29" t="s">
        <v>182</v>
      </c>
      <c r="W55" s="30"/>
      <c r="X55" s="45">
        <f>+Y55/$X$2</f>
        <v>4166.666666666667</v>
      </c>
      <c r="Y55" s="238">
        <v>2500000</v>
      </c>
      <c r="Z55" s="30"/>
      <c r="AA55" s="30"/>
      <c r="AB55" s="31" t="s">
        <v>183</v>
      </c>
      <c r="AC55" s="27"/>
    </row>
    <row r="56" spans="1:29" s="231" customFormat="1" ht="53.25" customHeight="1" x14ac:dyDescent="0.2">
      <c r="A56" s="30">
        <f>+A55+1</f>
        <v>2</v>
      </c>
      <c r="B56" s="39" t="s">
        <v>184</v>
      </c>
      <c r="C56" s="39" t="s">
        <v>554</v>
      </c>
      <c r="D56" s="39" t="s">
        <v>157</v>
      </c>
      <c r="E56" s="42"/>
      <c r="F56" s="43" t="s">
        <v>45</v>
      </c>
      <c r="G56" s="43" t="s">
        <v>45</v>
      </c>
      <c r="H56" s="43" t="s">
        <v>45</v>
      </c>
      <c r="I56" s="42"/>
      <c r="J56" s="43" t="s">
        <v>45</v>
      </c>
      <c r="K56" s="43" t="s">
        <v>45</v>
      </c>
      <c r="L56" s="43" t="s">
        <v>45</v>
      </c>
      <c r="M56" s="42"/>
      <c r="N56" s="43" t="s">
        <v>45</v>
      </c>
      <c r="O56" s="43" t="s">
        <v>45</v>
      </c>
      <c r="P56" s="43" t="s">
        <v>45</v>
      </c>
      <c r="Q56" s="42"/>
      <c r="R56" s="43" t="s">
        <v>45</v>
      </c>
      <c r="S56" s="43" t="s">
        <v>45</v>
      </c>
      <c r="T56" s="43" t="s">
        <v>45</v>
      </c>
      <c r="U56" s="42"/>
      <c r="V56" s="31" t="s">
        <v>186</v>
      </c>
      <c r="W56" s="30"/>
      <c r="X56" s="45">
        <f t="shared" ref="X56:X67" si="4">+Y56/$X$2</f>
        <v>1666.6666666666667</v>
      </c>
      <c r="Y56" s="238">
        <v>1000000</v>
      </c>
      <c r="Z56" s="30"/>
      <c r="AA56" s="30"/>
      <c r="AB56" s="31" t="s">
        <v>183</v>
      </c>
      <c r="AC56" s="27"/>
    </row>
    <row r="57" spans="1:29" ht="140.25" x14ac:dyDescent="0.2">
      <c r="A57" s="30">
        <f>+A56+1</f>
        <v>3</v>
      </c>
      <c r="B57" s="39" t="s">
        <v>187</v>
      </c>
      <c r="C57" s="39" t="s">
        <v>561</v>
      </c>
      <c r="D57" s="39" t="s">
        <v>157</v>
      </c>
      <c r="E57" s="42"/>
      <c r="F57" s="43" t="s">
        <v>45</v>
      </c>
      <c r="G57" s="43" t="s">
        <v>45</v>
      </c>
      <c r="H57" s="43" t="s">
        <v>45</v>
      </c>
      <c r="I57" s="42"/>
      <c r="J57" s="43" t="s">
        <v>45</v>
      </c>
      <c r="K57" s="43" t="s">
        <v>45</v>
      </c>
      <c r="L57" s="43" t="s">
        <v>45</v>
      </c>
      <c r="M57" s="42"/>
      <c r="N57" s="43" t="s">
        <v>45</v>
      </c>
      <c r="O57" s="43" t="s">
        <v>45</v>
      </c>
      <c r="P57" s="43" t="s">
        <v>45</v>
      </c>
      <c r="Q57" s="42"/>
      <c r="R57" s="43" t="s">
        <v>45</v>
      </c>
      <c r="S57" s="43" t="s">
        <v>45</v>
      </c>
      <c r="T57" s="43" t="s">
        <v>45</v>
      </c>
      <c r="U57" s="42"/>
      <c r="V57" s="29" t="s">
        <v>189</v>
      </c>
      <c r="W57" s="30"/>
      <c r="X57" s="45">
        <f t="shared" si="4"/>
        <v>3333.3333333333335</v>
      </c>
      <c r="Y57" s="238">
        <v>2000000</v>
      </c>
      <c r="Z57" s="30"/>
      <c r="AA57" s="30"/>
      <c r="AB57" s="31" t="s">
        <v>183</v>
      </c>
    </row>
    <row r="58" spans="1:29" ht="49.5" customHeight="1" x14ac:dyDescent="0.2">
      <c r="A58" s="30">
        <f>+A57+1</f>
        <v>4</v>
      </c>
      <c r="B58" s="39" t="s">
        <v>190</v>
      </c>
      <c r="C58" s="39" t="s">
        <v>191</v>
      </c>
      <c r="D58" s="39" t="s">
        <v>157</v>
      </c>
      <c r="E58" s="42"/>
      <c r="F58" s="43" t="s">
        <v>45</v>
      </c>
      <c r="G58" s="43" t="s">
        <v>45</v>
      </c>
      <c r="H58" s="43" t="s">
        <v>45</v>
      </c>
      <c r="I58" s="42"/>
      <c r="J58" s="43" t="s">
        <v>45</v>
      </c>
      <c r="K58" s="43" t="s">
        <v>45</v>
      </c>
      <c r="L58" s="43" t="s">
        <v>45</v>
      </c>
      <c r="M58" s="42"/>
      <c r="N58" s="43" t="s">
        <v>45</v>
      </c>
      <c r="O58" s="43" t="s">
        <v>45</v>
      </c>
      <c r="P58" s="43" t="s">
        <v>45</v>
      </c>
      <c r="Q58" s="42"/>
      <c r="R58" s="43" t="s">
        <v>45</v>
      </c>
      <c r="S58" s="43" t="s">
        <v>45</v>
      </c>
      <c r="T58" s="43" t="s">
        <v>45</v>
      </c>
      <c r="U58" s="42"/>
      <c r="V58" s="31" t="s">
        <v>192</v>
      </c>
      <c r="W58" s="30"/>
      <c r="X58" s="45">
        <f t="shared" si="4"/>
        <v>416.66666666666669</v>
      </c>
      <c r="Y58" s="238">
        <v>250000</v>
      </c>
      <c r="Z58" s="30"/>
      <c r="AA58" s="30"/>
      <c r="AB58" s="31" t="s">
        <v>183</v>
      </c>
    </row>
    <row r="59" spans="1:29" ht="49.5" customHeight="1" x14ac:dyDescent="0.2">
      <c r="A59" s="30">
        <f>+A58+1</f>
        <v>5</v>
      </c>
      <c r="B59" s="39" t="s">
        <v>193</v>
      </c>
      <c r="C59" s="39" t="s">
        <v>194</v>
      </c>
      <c r="D59" s="39"/>
      <c r="E59" s="42"/>
      <c r="F59" s="43" t="s">
        <v>45</v>
      </c>
      <c r="G59" s="43" t="s">
        <v>45</v>
      </c>
      <c r="H59" s="43" t="s">
        <v>45</v>
      </c>
      <c r="I59" s="42"/>
      <c r="J59" s="43" t="s">
        <v>45</v>
      </c>
      <c r="K59" s="43" t="s">
        <v>45</v>
      </c>
      <c r="L59" s="43" t="s">
        <v>45</v>
      </c>
      <c r="M59" s="42"/>
      <c r="N59" s="43" t="s">
        <v>45</v>
      </c>
      <c r="O59" s="43" t="s">
        <v>45</v>
      </c>
      <c r="P59" s="43" t="s">
        <v>45</v>
      </c>
      <c r="Q59" s="42"/>
      <c r="R59" s="43" t="s">
        <v>45</v>
      </c>
      <c r="S59" s="43" t="s">
        <v>45</v>
      </c>
      <c r="T59" s="43" t="s">
        <v>45</v>
      </c>
      <c r="U59" s="42"/>
      <c r="V59" s="31" t="s">
        <v>195</v>
      </c>
      <c r="W59" s="30"/>
      <c r="X59" s="45">
        <f t="shared" si="4"/>
        <v>198928.33333333334</v>
      </c>
      <c r="Y59" s="66">
        <v>119357000</v>
      </c>
      <c r="Z59" s="30"/>
      <c r="AA59" s="30"/>
      <c r="AB59" s="31" t="s">
        <v>183</v>
      </c>
    </row>
    <row r="60" spans="1:29" ht="13.5" x14ac:dyDescent="0.2">
      <c r="A60" s="30"/>
      <c r="B60" s="351" t="s">
        <v>196</v>
      </c>
      <c r="C60" s="352"/>
      <c r="D60" s="352"/>
      <c r="E60" s="352"/>
      <c r="F60" s="352"/>
      <c r="G60" s="352"/>
      <c r="H60" s="352"/>
      <c r="I60" s="352"/>
      <c r="J60" s="352"/>
      <c r="K60" s="352"/>
      <c r="L60" s="352"/>
      <c r="M60" s="352"/>
      <c r="N60" s="352"/>
      <c r="O60" s="352"/>
      <c r="P60" s="352"/>
      <c r="Q60" s="352"/>
      <c r="R60" s="352"/>
      <c r="S60" s="352"/>
      <c r="T60" s="352"/>
      <c r="U60" s="352"/>
      <c r="V60" s="352"/>
      <c r="W60" s="352"/>
      <c r="X60" s="352"/>
      <c r="Y60" s="352"/>
      <c r="Z60" s="352"/>
      <c r="AA60" s="352"/>
      <c r="AB60" s="353"/>
    </row>
    <row r="61" spans="1:29" ht="51" x14ac:dyDescent="0.2">
      <c r="A61" s="30">
        <v>1</v>
      </c>
      <c r="B61" s="39" t="s">
        <v>555</v>
      </c>
      <c r="C61" s="39" t="s">
        <v>198</v>
      </c>
      <c r="D61" s="39" t="s">
        <v>157</v>
      </c>
      <c r="E61" s="42"/>
      <c r="F61" s="43" t="s">
        <v>45</v>
      </c>
      <c r="G61" s="43" t="s">
        <v>45</v>
      </c>
      <c r="H61" s="43" t="s">
        <v>45</v>
      </c>
      <c r="I61" s="42"/>
      <c r="J61" s="43" t="s">
        <v>45</v>
      </c>
      <c r="K61" s="43" t="s">
        <v>45</v>
      </c>
      <c r="L61" s="43" t="s">
        <v>45</v>
      </c>
      <c r="M61" s="42"/>
      <c r="N61" s="43" t="s">
        <v>45</v>
      </c>
      <c r="O61" s="43" t="s">
        <v>45</v>
      </c>
      <c r="P61" s="43" t="s">
        <v>45</v>
      </c>
      <c r="Q61" s="42"/>
      <c r="R61" s="43" t="s">
        <v>45</v>
      </c>
      <c r="S61" s="43" t="s">
        <v>45</v>
      </c>
      <c r="T61" s="43" t="s">
        <v>45</v>
      </c>
      <c r="U61" s="42"/>
      <c r="V61" s="39" t="s">
        <v>199</v>
      </c>
      <c r="W61" s="47"/>
      <c r="X61" s="45">
        <f t="shared" si="4"/>
        <v>2000</v>
      </c>
      <c r="Y61" s="238">
        <v>1200000</v>
      </c>
      <c r="Z61" s="47"/>
      <c r="AA61" s="47"/>
      <c r="AB61" s="31" t="s">
        <v>183</v>
      </c>
    </row>
    <row r="62" spans="1:29" ht="48.75" customHeight="1" x14ac:dyDescent="0.2">
      <c r="A62" s="30">
        <f>+A61+1</f>
        <v>2</v>
      </c>
      <c r="B62" s="39" t="s">
        <v>200</v>
      </c>
      <c r="C62" s="39" t="s">
        <v>562</v>
      </c>
      <c r="D62" s="39" t="s">
        <v>157</v>
      </c>
      <c r="E62" s="42"/>
      <c r="F62" s="43" t="s">
        <v>45</v>
      </c>
      <c r="G62" s="43" t="s">
        <v>45</v>
      </c>
      <c r="H62" s="43" t="s">
        <v>45</v>
      </c>
      <c r="I62" s="42"/>
      <c r="J62" s="43" t="s">
        <v>45</v>
      </c>
      <c r="K62" s="43" t="s">
        <v>45</v>
      </c>
      <c r="L62" s="43" t="s">
        <v>45</v>
      </c>
      <c r="M62" s="42"/>
      <c r="N62" s="43" t="s">
        <v>45</v>
      </c>
      <c r="O62" s="43" t="s">
        <v>45</v>
      </c>
      <c r="P62" s="43" t="s">
        <v>45</v>
      </c>
      <c r="Q62" s="42"/>
      <c r="R62" s="43" t="s">
        <v>45</v>
      </c>
      <c r="S62" s="43" t="s">
        <v>45</v>
      </c>
      <c r="T62" s="43" t="s">
        <v>45</v>
      </c>
      <c r="U62" s="42"/>
      <c r="V62" s="39" t="s">
        <v>202</v>
      </c>
      <c r="W62" s="47"/>
      <c r="X62" s="45">
        <f t="shared" si="4"/>
        <v>3000</v>
      </c>
      <c r="Y62" s="238">
        <v>1800000</v>
      </c>
      <c r="Z62" s="47"/>
      <c r="AA62" s="47"/>
      <c r="AB62" s="31" t="s">
        <v>183</v>
      </c>
    </row>
    <row r="63" spans="1:29" ht="51" x14ac:dyDescent="0.2">
      <c r="A63" s="30">
        <f t="shared" ref="A63:A75" si="5">+A62+1</f>
        <v>3</v>
      </c>
      <c r="B63" s="39" t="s">
        <v>203</v>
      </c>
      <c r="C63" s="39" t="s">
        <v>204</v>
      </c>
      <c r="D63" s="39" t="s">
        <v>157</v>
      </c>
      <c r="E63" s="42"/>
      <c r="F63" s="43" t="s">
        <v>45</v>
      </c>
      <c r="G63" s="43" t="s">
        <v>45</v>
      </c>
      <c r="H63" s="43" t="s">
        <v>45</v>
      </c>
      <c r="I63" s="42"/>
      <c r="J63" s="43" t="s">
        <v>45</v>
      </c>
      <c r="K63" s="43" t="s">
        <v>45</v>
      </c>
      <c r="L63" s="43" t="s">
        <v>45</v>
      </c>
      <c r="M63" s="42"/>
      <c r="N63" s="43" t="s">
        <v>45</v>
      </c>
      <c r="O63" s="43" t="s">
        <v>45</v>
      </c>
      <c r="P63" s="43" t="s">
        <v>45</v>
      </c>
      <c r="Q63" s="42"/>
      <c r="R63" s="43" t="s">
        <v>45</v>
      </c>
      <c r="S63" s="43" t="s">
        <v>45</v>
      </c>
      <c r="T63" s="43" t="s">
        <v>45</v>
      </c>
      <c r="U63" s="42"/>
      <c r="V63" s="39" t="s">
        <v>205</v>
      </c>
      <c r="W63" s="47"/>
      <c r="X63" s="45">
        <f t="shared" si="4"/>
        <v>2000</v>
      </c>
      <c r="Y63" s="238">
        <v>1200000</v>
      </c>
      <c r="Z63" s="47"/>
      <c r="AA63" s="47"/>
      <c r="AB63" s="31" t="s">
        <v>183</v>
      </c>
    </row>
    <row r="64" spans="1:29" ht="48" customHeight="1" x14ac:dyDescent="0.2">
      <c r="A64" s="30">
        <f t="shared" si="5"/>
        <v>4</v>
      </c>
      <c r="B64" s="39" t="s">
        <v>206</v>
      </c>
      <c r="C64" s="39" t="s">
        <v>207</v>
      </c>
      <c r="D64" s="39" t="s">
        <v>157</v>
      </c>
      <c r="E64" s="42"/>
      <c r="F64" s="43" t="s">
        <v>45</v>
      </c>
      <c r="G64" s="43" t="s">
        <v>45</v>
      </c>
      <c r="H64" s="43" t="s">
        <v>45</v>
      </c>
      <c r="I64" s="42"/>
      <c r="J64" s="43" t="s">
        <v>45</v>
      </c>
      <c r="K64" s="43" t="s">
        <v>45</v>
      </c>
      <c r="L64" s="43" t="s">
        <v>45</v>
      </c>
      <c r="M64" s="42"/>
      <c r="N64" s="43" t="s">
        <v>45</v>
      </c>
      <c r="O64" s="43" t="s">
        <v>45</v>
      </c>
      <c r="P64" s="43" t="s">
        <v>45</v>
      </c>
      <c r="Q64" s="42"/>
      <c r="R64" s="43" t="s">
        <v>45</v>
      </c>
      <c r="S64" s="43" t="s">
        <v>45</v>
      </c>
      <c r="T64" s="43" t="s">
        <v>45</v>
      </c>
      <c r="U64" s="42"/>
      <c r="V64" s="39" t="s">
        <v>208</v>
      </c>
      <c r="W64" s="47"/>
      <c r="X64" s="45">
        <f t="shared" si="4"/>
        <v>1333.3333333333333</v>
      </c>
      <c r="Y64" s="238">
        <v>800000</v>
      </c>
      <c r="Z64" s="47"/>
      <c r="AA64" s="47"/>
      <c r="AB64" s="31" t="s">
        <v>183</v>
      </c>
    </row>
    <row r="65" spans="1:29" ht="76.5" x14ac:dyDescent="0.2">
      <c r="A65" s="30">
        <f t="shared" si="5"/>
        <v>5</v>
      </c>
      <c r="B65" s="39" t="s">
        <v>209</v>
      </c>
      <c r="C65" s="39" t="s">
        <v>210</v>
      </c>
      <c r="D65" s="39" t="s">
        <v>157</v>
      </c>
      <c r="E65" s="42"/>
      <c r="F65" s="43" t="s">
        <v>45</v>
      </c>
      <c r="G65" s="43" t="s">
        <v>45</v>
      </c>
      <c r="H65" s="43" t="s">
        <v>45</v>
      </c>
      <c r="I65" s="42"/>
      <c r="J65" s="43" t="s">
        <v>45</v>
      </c>
      <c r="K65" s="43" t="s">
        <v>45</v>
      </c>
      <c r="L65" s="43" t="s">
        <v>45</v>
      </c>
      <c r="M65" s="42"/>
      <c r="N65" s="43" t="s">
        <v>45</v>
      </c>
      <c r="O65" s="43" t="s">
        <v>45</v>
      </c>
      <c r="P65" s="43" t="s">
        <v>45</v>
      </c>
      <c r="Q65" s="42"/>
      <c r="R65" s="43" t="s">
        <v>45</v>
      </c>
      <c r="S65" s="43" t="s">
        <v>45</v>
      </c>
      <c r="T65" s="43" t="s">
        <v>45</v>
      </c>
      <c r="U65" s="42"/>
      <c r="V65" s="39" t="s">
        <v>211</v>
      </c>
      <c r="W65" s="47"/>
      <c r="X65" s="45">
        <f t="shared" si="4"/>
        <v>2000</v>
      </c>
      <c r="Y65" s="238">
        <v>1200000</v>
      </c>
      <c r="Z65" s="47"/>
      <c r="AA65" s="47"/>
      <c r="AB65" s="31" t="s">
        <v>183</v>
      </c>
    </row>
    <row r="66" spans="1:29" ht="37.5" customHeight="1" x14ac:dyDescent="0.2">
      <c r="A66" s="30">
        <f t="shared" si="5"/>
        <v>6</v>
      </c>
      <c r="B66" s="39" t="s">
        <v>212</v>
      </c>
      <c r="C66" s="39" t="s">
        <v>213</v>
      </c>
      <c r="D66" s="39"/>
      <c r="E66" s="42"/>
      <c r="F66" s="43" t="s">
        <v>45</v>
      </c>
      <c r="G66" s="43" t="s">
        <v>45</v>
      </c>
      <c r="H66" s="43" t="s">
        <v>45</v>
      </c>
      <c r="I66" s="42"/>
      <c r="J66" s="43" t="s">
        <v>45</v>
      </c>
      <c r="K66" s="43" t="s">
        <v>45</v>
      </c>
      <c r="L66" s="43" t="s">
        <v>45</v>
      </c>
      <c r="M66" s="42"/>
      <c r="N66" s="43" t="s">
        <v>45</v>
      </c>
      <c r="O66" s="43" t="s">
        <v>45</v>
      </c>
      <c r="P66" s="43" t="s">
        <v>45</v>
      </c>
      <c r="Q66" s="42"/>
      <c r="R66" s="43" t="s">
        <v>45</v>
      </c>
      <c r="S66" s="43" t="s">
        <v>45</v>
      </c>
      <c r="T66" s="43" t="s">
        <v>45</v>
      </c>
      <c r="U66" s="42"/>
      <c r="V66" s="214" t="s">
        <v>214</v>
      </c>
      <c r="W66" s="47"/>
      <c r="X66" s="45">
        <f t="shared" si="4"/>
        <v>3000</v>
      </c>
      <c r="Y66" s="238">
        <v>1800000</v>
      </c>
      <c r="Z66" s="47"/>
      <c r="AA66" s="47"/>
      <c r="AB66" s="31" t="s">
        <v>183</v>
      </c>
    </row>
    <row r="67" spans="1:29" ht="37.5" customHeight="1" x14ac:dyDescent="0.2">
      <c r="A67" s="30">
        <f t="shared" si="5"/>
        <v>7</v>
      </c>
      <c r="B67" s="39" t="s">
        <v>215</v>
      </c>
      <c r="C67" s="39" t="s">
        <v>216</v>
      </c>
      <c r="D67" s="39"/>
      <c r="E67" s="42"/>
      <c r="F67" s="43" t="s">
        <v>45</v>
      </c>
      <c r="G67" s="43" t="s">
        <v>45</v>
      </c>
      <c r="H67" s="43" t="s">
        <v>45</v>
      </c>
      <c r="I67" s="42"/>
      <c r="J67" s="43" t="s">
        <v>45</v>
      </c>
      <c r="K67" s="43" t="s">
        <v>45</v>
      </c>
      <c r="L67" s="43" t="s">
        <v>45</v>
      </c>
      <c r="M67" s="42"/>
      <c r="N67" s="43" t="s">
        <v>45</v>
      </c>
      <c r="O67" s="43" t="s">
        <v>45</v>
      </c>
      <c r="P67" s="43" t="s">
        <v>45</v>
      </c>
      <c r="Q67" s="42"/>
      <c r="R67" s="43" t="s">
        <v>45</v>
      </c>
      <c r="S67" s="43" t="s">
        <v>45</v>
      </c>
      <c r="T67" s="43" t="s">
        <v>45</v>
      </c>
      <c r="U67" s="42"/>
      <c r="V67" s="39" t="s">
        <v>217</v>
      </c>
      <c r="W67" s="47"/>
      <c r="X67" s="45">
        <f t="shared" si="4"/>
        <v>2000</v>
      </c>
      <c r="Y67" s="238">
        <v>1200000</v>
      </c>
      <c r="Z67" s="47"/>
      <c r="AA67" s="47"/>
      <c r="AB67" s="31" t="s">
        <v>183</v>
      </c>
    </row>
    <row r="68" spans="1:29" ht="13.5" x14ac:dyDescent="0.2">
      <c r="A68" s="30"/>
      <c r="B68" s="326" t="s">
        <v>218</v>
      </c>
      <c r="C68" s="327"/>
      <c r="D68" s="327"/>
      <c r="E68" s="327"/>
      <c r="F68" s="327"/>
      <c r="G68" s="327"/>
      <c r="H68" s="327"/>
      <c r="I68" s="327"/>
      <c r="J68" s="327"/>
      <c r="K68" s="327"/>
      <c r="L68" s="327"/>
      <c r="M68" s="327"/>
      <c r="N68" s="327"/>
      <c r="O68" s="327"/>
      <c r="P68" s="327"/>
      <c r="Q68" s="327"/>
      <c r="R68" s="327"/>
      <c r="S68" s="327"/>
      <c r="T68" s="327"/>
      <c r="U68" s="327"/>
      <c r="V68" s="327"/>
      <c r="W68" s="327"/>
      <c r="X68" s="327"/>
      <c r="Y68" s="327"/>
      <c r="Z68" s="327"/>
      <c r="AA68" s="327"/>
      <c r="AB68" s="328"/>
    </row>
    <row r="69" spans="1:29" ht="25.5" x14ac:dyDescent="0.2">
      <c r="A69" s="30">
        <f t="shared" si="5"/>
        <v>1</v>
      </c>
      <c r="B69" s="39" t="s">
        <v>219</v>
      </c>
      <c r="C69" s="39" t="s">
        <v>220</v>
      </c>
      <c r="D69" s="47"/>
      <c r="E69" s="42"/>
      <c r="F69" s="43" t="s">
        <v>45</v>
      </c>
      <c r="G69" s="43" t="s">
        <v>45</v>
      </c>
      <c r="H69" s="43" t="s">
        <v>45</v>
      </c>
      <c r="I69" s="42"/>
      <c r="J69" s="43" t="s">
        <v>45</v>
      </c>
      <c r="K69" s="43" t="s">
        <v>45</v>
      </c>
      <c r="L69" s="43" t="s">
        <v>45</v>
      </c>
      <c r="M69" s="42"/>
      <c r="N69" s="43" t="s">
        <v>45</v>
      </c>
      <c r="O69" s="43" t="s">
        <v>45</v>
      </c>
      <c r="P69" s="43" t="s">
        <v>45</v>
      </c>
      <c r="Q69" s="42"/>
      <c r="R69" s="43" t="s">
        <v>45</v>
      </c>
      <c r="S69" s="43" t="s">
        <v>45</v>
      </c>
      <c r="T69" s="43" t="s">
        <v>45</v>
      </c>
      <c r="U69" s="42"/>
      <c r="V69" s="39" t="s">
        <v>221</v>
      </c>
      <c r="W69" s="47"/>
      <c r="X69" s="45">
        <f>+Y69/$X$2</f>
        <v>111404.41</v>
      </c>
      <c r="Y69" s="238">
        <f>53326560+13516086</f>
        <v>66842646</v>
      </c>
      <c r="Z69" s="296"/>
      <c r="AA69" s="47"/>
      <c r="AB69" s="31" t="s">
        <v>178</v>
      </c>
    </row>
    <row r="70" spans="1:29" ht="38.25" x14ac:dyDescent="0.2">
      <c r="A70" s="30">
        <f t="shared" si="5"/>
        <v>2</v>
      </c>
      <c r="B70" s="39" t="s">
        <v>222</v>
      </c>
      <c r="C70" s="39" t="s">
        <v>223</v>
      </c>
      <c r="D70" s="47"/>
      <c r="E70" s="42"/>
      <c r="F70" s="43" t="s">
        <v>45</v>
      </c>
      <c r="G70" s="43" t="s">
        <v>45</v>
      </c>
      <c r="H70" s="43" t="s">
        <v>45</v>
      </c>
      <c r="I70" s="42"/>
      <c r="J70" s="43" t="s">
        <v>45</v>
      </c>
      <c r="K70" s="43" t="s">
        <v>45</v>
      </c>
      <c r="L70" s="43" t="s">
        <v>45</v>
      </c>
      <c r="M70" s="42"/>
      <c r="N70" s="43" t="s">
        <v>45</v>
      </c>
      <c r="O70" s="43" t="s">
        <v>45</v>
      </c>
      <c r="P70" s="43" t="s">
        <v>45</v>
      </c>
      <c r="Q70" s="42"/>
      <c r="R70" s="43" t="s">
        <v>45</v>
      </c>
      <c r="S70" s="43" t="s">
        <v>45</v>
      </c>
      <c r="T70" s="43" t="s">
        <v>45</v>
      </c>
      <c r="U70" s="42"/>
      <c r="V70" s="39" t="s">
        <v>224</v>
      </c>
      <c r="W70" s="47"/>
      <c r="X70" s="45">
        <f t="shared" ref="X70:X75" si="6">+Y70/$X$2</f>
        <v>24166.666666666668</v>
      </c>
      <c r="Y70" s="238">
        <v>14500000</v>
      </c>
      <c r="Z70" s="47"/>
      <c r="AA70" s="47"/>
      <c r="AB70" s="31" t="s">
        <v>178</v>
      </c>
    </row>
    <row r="71" spans="1:29" ht="25.5" x14ac:dyDescent="0.2">
      <c r="A71" s="30">
        <f t="shared" si="5"/>
        <v>3</v>
      </c>
      <c r="B71" s="39" t="s">
        <v>225</v>
      </c>
      <c r="C71" s="39" t="s">
        <v>226</v>
      </c>
      <c r="D71" s="47"/>
      <c r="E71" s="42"/>
      <c r="F71" s="43" t="s">
        <v>45</v>
      </c>
      <c r="G71" s="43" t="s">
        <v>45</v>
      </c>
      <c r="H71" s="43" t="s">
        <v>45</v>
      </c>
      <c r="I71" s="42"/>
      <c r="J71" s="43" t="s">
        <v>45</v>
      </c>
      <c r="K71" s="43" t="s">
        <v>45</v>
      </c>
      <c r="L71" s="43" t="s">
        <v>45</v>
      </c>
      <c r="M71" s="42"/>
      <c r="N71" s="43" t="s">
        <v>45</v>
      </c>
      <c r="O71" s="43" t="s">
        <v>45</v>
      </c>
      <c r="P71" s="43" t="s">
        <v>45</v>
      </c>
      <c r="Q71" s="42"/>
      <c r="R71" s="43" t="s">
        <v>45</v>
      </c>
      <c r="S71" s="43" t="s">
        <v>45</v>
      </c>
      <c r="T71" s="43" t="s">
        <v>45</v>
      </c>
      <c r="U71" s="42"/>
      <c r="V71" s="39" t="s">
        <v>227</v>
      </c>
      <c r="W71" s="47"/>
      <c r="X71" s="45">
        <f t="shared" si="6"/>
        <v>11136.9</v>
      </c>
      <c r="Y71" s="238">
        <v>6682140</v>
      </c>
      <c r="Z71" s="47"/>
      <c r="AA71" s="47"/>
      <c r="AB71" s="31" t="s">
        <v>178</v>
      </c>
    </row>
    <row r="72" spans="1:29" ht="24.75" customHeight="1" x14ac:dyDescent="0.2">
      <c r="A72" s="30">
        <f t="shared" si="5"/>
        <v>4</v>
      </c>
      <c r="B72" s="39" t="s">
        <v>532</v>
      </c>
      <c r="C72" s="39" t="s">
        <v>229</v>
      </c>
      <c r="D72" s="47"/>
      <c r="E72" s="42"/>
      <c r="F72" s="43"/>
      <c r="G72" s="43"/>
      <c r="H72" s="43" t="s">
        <v>45</v>
      </c>
      <c r="I72" s="42"/>
      <c r="J72" s="43" t="s">
        <v>45</v>
      </c>
      <c r="K72" s="43"/>
      <c r="L72" s="43"/>
      <c r="M72" s="42"/>
      <c r="N72" s="43"/>
      <c r="O72" s="43"/>
      <c r="P72" s="43"/>
      <c r="Q72" s="42"/>
      <c r="R72" s="43"/>
      <c r="S72" s="43"/>
      <c r="T72" s="43"/>
      <c r="U72" s="42"/>
      <c r="V72" s="39" t="s">
        <v>230</v>
      </c>
      <c r="W72" s="47"/>
      <c r="X72" s="45">
        <f t="shared" si="6"/>
        <v>216.66666666666666</v>
      </c>
      <c r="Y72" s="238">
        <v>130000</v>
      </c>
      <c r="Z72" s="47"/>
      <c r="AA72" s="47"/>
      <c r="AB72" s="31" t="s">
        <v>178</v>
      </c>
    </row>
    <row r="73" spans="1:29" ht="51" x14ac:dyDescent="0.2">
      <c r="A73" s="30">
        <f t="shared" si="5"/>
        <v>5</v>
      </c>
      <c r="B73" s="39" t="s">
        <v>231</v>
      </c>
      <c r="C73" s="39" t="s">
        <v>233</v>
      </c>
      <c r="D73" s="39" t="s">
        <v>233</v>
      </c>
      <c r="E73" s="42"/>
      <c r="F73" s="43" t="s">
        <v>45</v>
      </c>
      <c r="G73" s="43" t="s">
        <v>45</v>
      </c>
      <c r="H73" s="43" t="s">
        <v>45</v>
      </c>
      <c r="I73" s="42"/>
      <c r="J73" s="43" t="s">
        <v>45</v>
      </c>
      <c r="K73" s="43" t="s">
        <v>45</v>
      </c>
      <c r="L73" s="43" t="s">
        <v>45</v>
      </c>
      <c r="M73" s="42"/>
      <c r="N73" s="43" t="s">
        <v>45</v>
      </c>
      <c r="O73" s="43" t="s">
        <v>45</v>
      </c>
      <c r="P73" s="43" t="s">
        <v>45</v>
      </c>
      <c r="Q73" s="42"/>
      <c r="R73" s="43" t="s">
        <v>45</v>
      </c>
      <c r="S73" s="43" t="s">
        <v>45</v>
      </c>
      <c r="T73" s="43" t="s">
        <v>45</v>
      </c>
      <c r="U73" s="42"/>
      <c r="V73" s="39" t="s">
        <v>233</v>
      </c>
      <c r="W73" s="47"/>
      <c r="X73" s="45">
        <f t="shared" si="6"/>
        <v>32683.333333333332</v>
      </c>
      <c r="Y73" s="238">
        <v>19610000</v>
      </c>
      <c r="Z73" s="47"/>
      <c r="AA73" s="47"/>
      <c r="AB73" s="31" t="s">
        <v>178</v>
      </c>
    </row>
    <row r="74" spans="1:29" ht="25.5" x14ac:dyDescent="0.2">
      <c r="A74" s="265">
        <f t="shared" si="5"/>
        <v>6</v>
      </c>
      <c r="B74" s="266" t="s">
        <v>234</v>
      </c>
      <c r="C74" s="267" t="s">
        <v>235</v>
      </c>
      <c r="D74" s="268"/>
      <c r="E74" s="269"/>
      <c r="F74" s="270"/>
      <c r="G74" s="270"/>
      <c r="H74" s="270"/>
      <c r="I74" s="269"/>
      <c r="J74" s="270"/>
      <c r="K74" s="270"/>
      <c r="L74" s="270" t="s">
        <v>236</v>
      </c>
      <c r="M74" s="269"/>
      <c r="N74" s="270"/>
      <c r="O74" s="270"/>
      <c r="P74" s="270"/>
      <c r="Q74" s="269"/>
      <c r="R74" s="270"/>
      <c r="S74" s="270"/>
      <c r="T74" s="270"/>
      <c r="U74" s="269"/>
      <c r="V74" s="271" t="s">
        <v>237</v>
      </c>
      <c r="W74" s="268"/>
      <c r="X74" s="45">
        <f t="shared" si="6"/>
        <v>4166.666666666667</v>
      </c>
      <c r="Y74" s="275">
        <v>2500000</v>
      </c>
      <c r="Z74" s="268"/>
      <c r="AA74" s="268"/>
      <c r="AB74" s="276"/>
    </row>
    <row r="75" spans="1:29" ht="39" customHeight="1" x14ac:dyDescent="0.2">
      <c r="A75" s="265">
        <f t="shared" si="5"/>
        <v>7</v>
      </c>
      <c r="B75" s="39" t="s">
        <v>112</v>
      </c>
      <c r="C75" s="39" t="s">
        <v>112</v>
      </c>
      <c r="D75" s="39" t="s">
        <v>113</v>
      </c>
      <c r="E75" s="42"/>
      <c r="F75" s="43" t="s">
        <v>45</v>
      </c>
      <c r="G75" s="43" t="s">
        <v>45</v>
      </c>
      <c r="H75" s="43" t="s">
        <v>45</v>
      </c>
      <c r="I75" s="42"/>
      <c r="J75" s="43" t="s">
        <v>45</v>
      </c>
      <c r="K75" s="43" t="s">
        <v>45</v>
      </c>
      <c r="L75" s="43" t="s">
        <v>45</v>
      </c>
      <c r="M75" s="42"/>
      <c r="N75" s="43" t="s">
        <v>45</v>
      </c>
      <c r="O75" s="43" t="s">
        <v>45</v>
      </c>
      <c r="P75" s="43" t="s">
        <v>45</v>
      </c>
      <c r="Q75" s="42"/>
      <c r="R75" s="43" t="s">
        <v>45</v>
      </c>
      <c r="S75" s="43" t="s">
        <v>45</v>
      </c>
      <c r="T75" s="43" t="s">
        <v>45</v>
      </c>
      <c r="U75" s="42"/>
      <c r="V75" s="39" t="s">
        <v>114</v>
      </c>
      <c r="W75" s="48"/>
      <c r="X75" s="45">
        <f t="shared" si="6"/>
        <v>28333.333333333332</v>
      </c>
      <c r="Y75" s="238">
        <v>17000000</v>
      </c>
      <c r="Z75" s="47"/>
      <c r="AA75" s="47"/>
      <c r="AB75" s="31"/>
    </row>
    <row r="76" spans="1:29" x14ac:dyDescent="0.2">
      <c r="A76" s="30"/>
      <c r="B76" s="329" t="s">
        <v>238</v>
      </c>
      <c r="C76" s="330"/>
      <c r="D76" s="330"/>
      <c r="E76" s="330"/>
      <c r="F76" s="330"/>
      <c r="G76" s="330"/>
      <c r="H76" s="330"/>
      <c r="I76" s="330"/>
      <c r="J76" s="330"/>
      <c r="K76" s="330"/>
      <c r="L76" s="330"/>
      <c r="M76" s="330"/>
      <c r="N76" s="330"/>
      <c r="O76" s="330"/>
      <c r="P76" s="330"/>
      <c r="Q76" s="330"/>
      <c r="R76" s="330"/>
      <c r="S76" s="330"/>
      <c r="T76" s="330"/>
      <c r="U76" s="330"/>
      <c r="V76" s="330"/>
      <c r="W76" s="330"/>
      <c r="X76" s="330"/>
      <c r="Y76" s="330"/>
      <c r="Z76" s="330"/>
      <c r="AA76" s="330"/>
      <c r="AB76" s="331"/>
    </row>
    <row r="77" spans="1:29" s="232" customFormat="1" ht="13.5" x14ac:dyDescent="0.2">
      <c r="A77" s="30"/>
      <c r="B77" s="326" t="s">
        <v>239</v>
      </c>
      <c r="C77" s="327"/>
      <c r="D77" s="327"/>
      <c r="E77" s="327"/>
      <c r="F77" s="327"/>
      <c r="G77" s="327"/>
      <c r="H77" s="327"/>
      <c r="I77" s="327"/>
      <c r="J77" s="327"/>
      <c r="K77" s="327"/>
      <c r="L77" s="327"/>
      <c r="M77" s="327"/>
      <c r="N77" s="327"/>
      <c r="O77" s="327"/>
      <c r="P77" s="327"/>
      <c r="Q77" s="327"/>
      <c r="R77" s="327"/>
      <c r="S77" s="327"/>
      <c r="T77" s="327"/>
      <c r="U77" s="327"/>
      <c r="V77" s="327"/>
      <c r="W77" s="327"/>
      <c r="X77" s="327"/>
      <c r="Y77" s="327"/>
      <c r="Z77" s="327"/>
      <c r="AA77" s="327"/>
      <c r="AB77" s="328"/>
      <c r="AC77" s="27"/>
    </row>
    <row r="78" spans="1:29" ht="114.75" x14ac:dyDescent="0.2">
      <c r="A78" s="30">
        <f>1</f>
        <v>1</v>
      </c>
      <c r="B78" s="31" t="s">
        <v>243</v>
      </c>
      <c r="C78" s="31" t="s">
        <v>244</v>
      </c>
      <c r="D78" s="30"/>
      <c r="E78" s="42"/>
      <c r="F78" s="43" t="s">
        <v>45</v>
      </c>
      <c r="G78" s="43" t="s">
        <v>45</v>
      </c>
      <c r="H78" s="43" t="s">
        <v>45</v>
      </c>
      <c r="I78" s="42"/>
      <c r="J78" s="43" t="s">
        <v>45</v>
      </c>
      <c r="K78" s="43" t="s">
        <v>45</v>
      </c>
      <c r="L78" s="43" t="s">
        <v>45</v>
      </c>
      <c r="M78" s="42"/>
      <c r="N78" s="43" t="s">
        <v>45</v>
      </c>
      <c r="O78" s="43" t="s">
        <v>45</v>
      </c>
      <c r="P78" s="43" t="s">
        <v>45</v>
      </c>
      <c r="Q78" s="42"/>
      <c r="R78" s="43" t="s">
        <v>45</v>
      </c>
      <c r="S78" s="43" t="s">
        <v>45</v>
      </c>
      <c r="T78" s="43" t="s">
        <v>45</v>
      </c>
      <c r="U78" s="42"/>
      <c r="V78" s="39" t="s">
        <v>245</v>
      </c>
      <c r="W78" s="30"/>
      <c r="X78" s="45">
        <f t="shared" ref="X78:X79" si="7">+Y78/$X$2</f>
        <v>8333.3333333333339</v>
      </c>
      <c r="Y78" s="238">
        <v>5000000</v>
      </c>
      <c r="Z78" s="30"/>
      <c r="AA78" s="30"/>
      <c r="AB78" s="31" t="s">
        <v>178</v>
      </c>
    </row>
    <row r="79" spans="1:29" ht="38.25" customHeight="1" x14ac:dyDescent="0.2">
      <c r="A79" s="30">
        <f>+A78+1</f>
        <v>2</v>
      </c>
      <c r="B79" s="31" t="s">
        <v>249</v>
      </c>
      <c r="C79" s="31" t="s">
        <v>250</v>
      </c>
      <c r="D79" s="30"/>
      <c r="E79" s="42"/>
      <c r="F79" s="43"/>
      <c r="G79" s="43" t="s">
        <v>45</v>
      </c>
      <c r="H79" s="43" t="s">
        <v>45</v>
      </c>
      <c r="I79" s="42"/>
      <c r="J79" s="43" t="s">
        <v>45</v>
      </c>
      <c r="K79" s="43"/>
      <c r="L79" s="43"/>
      <c r="M79" s="42"/>
      <c r="N79" s="43"/>
      <c r="O79" s="43"/>
      <c r="P79" s="43"/>
      <c r="Q79" s="42"/>
      <c r="R79" s="43"/>
      <c r="S79" s="43"/>
      <c r="T79" s="43"/>
      <c r="U79" s="42"/>
      <c r="V79" s="39" t="s">
        <v>251</v>
      </c>
      <c r="W79" s="30"/>
      <c r="X79" s="45">
        <f t="shared" si="7"/>
        <v>58333.333333333336</v>
      </c>
      <c r="Y79" s="238">
        <v>35000000</v>
      </c>
      <c r="Z79" s="30"/>
      <c r="AA79" s="30"/>
      <c r="AB79" s="31" t="s">
        <v>178</v>
      </c>
    </row>
    <row r="80" spans="1:29" ht="13.5" x14ac:dyDescent="0.2">
      <c r="A80" s="30"/>
      <c r="B80" s="318" t="s">
        <v>265</v>
      </c>
      <c r="C80" s="318"/>
      <c r="D80" s="318"/>
      <c r="E80" s="318"/>
      <c r="F80" s="318"/>
      <c r="G80" s="318"/>
      <c r="H80" s="318"/>
      <c r="I80" s="318"/>
      <c r="J80" s="318"/>
      <c r="K80" s="318"/>
      <c r="L80" s="318"/>
      <c r="M80" s="318"/>
      <c r="N80" s="318"/>
      <c r="O80" s="318"/>
      <c r="P80" s="318"/>
      <c r="Q80" s="318"/>
      <c r="R80" s="318"/>
      <c r="S80" s="318"/>
      <c r="T80" s="318"/>
      <c r="U80" s="318"/>
      <c r="V80" s="318"/>
      <c r="W80" s="318"/>
      <c r="X80" s="318"/>
      <c r="Y80" s="318"/>
      <c r="Z80" s="318"/>
      <c r="AA80" s="318"/>
      <c r="AB80" s="318"/>
    </row>
    <row r="81" spans="1:28" ht="38.25" x14ac:dyDescent="0.2">
      <c r="A81" s="30">
        <f>1</f>
        <v>1</v>
      </c>
      <c r="B81" s="39" t="s">
        <v>266</v>
      </c>
      <c r="C81" s="41" t="s">
        <v>267</v>
      </c>
      <c r="D81" s="30"/>
      <c r="E81" s="42"/>
      <c r="F81" s="31" t="s">
        <v>45</v>
      </c>
      <c r="G81" s="31" t="s">
        <v>45</v>
      </c>
      <c r="H81" s="31" t="s">
        <v>45</v>
      </c>
      <c r="I81" s="42"/>
      <c r="J81" s="31" t="s">
        <v>45</v>
      </c>
      <c r="K81" s="31" t="s">
        <v>45</v>
      </c>
      <c r="L81" s="31" t="s">
        <v>45</v>
      </c>
      <c r="M81" s="42"/>
      <c r="N81" s="43" t="s">
        <v>45</v>
      </c>
      <c r="O81" s="43" t="s">
        <v>45</v>
      </c>
      <c r="P81" s="43" t="s">
        <v>45</v>
      </c>
      <c r="Q81" s="42"/>
      <c r="R81" s="43" t="s">
        <v>45</v>
      </c>
      <c r="S81" s="43" t="s">
        <v>45</v>
      </c>
      <c r="T81" s="43" t="s">
        <v>45</v>
      </c>
      <c r="U81" s="42"/>
      <c r="V81" s="39" t="s">
        <v>268</v>
      </c>
      <c r="W81" s="30"/>
      <c r="X81" s="45">
        <f>+Y81/$X$2</f>
        <v>666.66666666666663</v>
      </c>
      <c r="Y81" s="252">
        <v>400000</v>
      </c>
      <c r="Z81" s="30"/>
      <c r="AA81" s="30"/>
      <c r="AB81" s="31" t="s">
        <v>269</v>
      </c>
    </row>
    <row r="82" spans="1:28" ht="25.5" customHeight="1" x14ac:dyDescent="0.2">
      <c r="A82" s="30">
        <f>+A81+1</f>
        <v>2</v>
      </c>
      <c r="B82" s="39" t="s">
        <v>270</v>
      </c>
      <c r="C82" s="39" t="s">
        <v>271</v>
      </c>
      <c r="D82" s="30"/>
      <c r="E82" s="42"/>
      <c r="F82" s="31"/>
      <c r="G82" s="31"/>
      <c r="H82" s="31"/>
      <c r="I82" s="42"/>
      <c r="J82" s="43"/>
      <c r="K82" s="43"/>
      <c r="L82" s="43"/>
      <c r="M82" s="42"/>
      <c r="N82" s="43"/>
      <c r="O82" s="43"/>
      <c r="P82" s="43" t="s">
        <v>45</v>
      </c>
      <c r="Q82" s="42"/>
      <c r="R82" s="43" t="s">
        <v>45</v>
      </c>
      <c r="S82" s="43"/>
      <c r="T82" s="43"/>
      <c r="U82" s="42"/>
      <c r="V82" s="39" t="s">
        <v>272</v>
      </c>
      <c r="W82" s="30"/>
      <c r="X82" s="45">
        <f>+Y82/$X$2</f>
        <v>1666.6666666666667</v>
      </c>
      <c r="Y82" s="252">
        <v>1000000</v>
      </c>
      <c r="Z82" s="30"/>
      <c r="AA82" s="30"/>
      <c r="AB82" s="31" t="s">
        <v>269</v>
      </c>
    </row>
    <row r="83" spans="1:28" ht="13.5" x14ac:dyDescent="0.2">
      <c r="A83" s="30"/>
      <c r="B83" s="318" t="s">
        <v>273</v>
      </c>
      <c r="C83" s="318"/>
      <c r="D83" s="318"/>
      <c r="E83" s="318"/>
      <c r="F83" s="318"/>
      <c r="G83" s="318"/>
      <c r="H83" s="318"/>
      <c r="I83" s="318"/>
      <c r="J83" s="318"/>
      <c r="K83" s="318"/>
      <c r="L83" s="318"/>
      <c r="M83" s="318"/>
      <c r="N83" s="318"/>
      <c r="O83" s="318"/>
      <c r="P83" s="318"/>
      <c r="Q83" s="318"/>
      <c r="R83" s="318"/>
      <c r="S83" s="318"/>
      <c r="T83" s="318"/>
      <c r="U83" s="318"/>
      <c r="V83" s="318"/>
      <c r="W83" s="318"/>
      <c r="X83" s="318"/>
      <c r="Y83" s="318"/>
      <c r="Z83" s="318"/>
      <c r="AA83" s="318"/>
      <c r="AB83" s="318"/>
    </row>
    <row r="84" spans="1:28" ht="38.25" x14ac:dyDescent="0.2">
      <c r="A84" s="30">
        <f>1</f>
        <v>1</v>
      </c>
      <c r="B84" s="39" t="s">
        <v>277</v>
      </c>
      <c r="C84" s="41" t="s">
        <v>278</v>
      </c>
      <c r="D84" s="30"/>
      <c r="E84" s="42"/>
      <c r="F84" s="43"/>
      <c r="G84" s="43"/>
      <c r="H84" s="43" t="s">
        <v>45</v>
      </c>
      <c r="I84" s="42"/>
      <c r="J84" s="43"/>
      <c r="K84" s="43"/>
      <c r="L84" s="43"/>
      <c r="M84" s="42"/>
      <c r="N84" s="43"/>
      <c r="O84" s="43"/>
      <c r="P84" s="43"/>
      <c r="Q84" s="42"/>
      <c r="R84" s="43"/>
      <c r="S84" s="43"/>
      <c r="T84" s="43"/>
      <c r="U84" s="42"/>
      <c r="V84" s="31" t="s">
        <v>279</v>
      </c>
      <c r="W84" s="30"/>
      <c r="X84" s="45">
        <f>+Y84/$X$2</f>
        <v>11666.666666666666</v>
      </c>
      <c r="Y84" s="238">
        <v>7000000</v>
      </c>
      <c r="Z84" s="30"/>
      <c r="AA84" s="30"/>
      <c r="AB84" s="31" t="s">
        <v>269</v>
      </c>
    </row>
    <row r="85" spans="1:28" ht="76.5" x14ac:dyDescent="0.2">
      <c r="A85" s="30">
        <f t="shared" ref="A85:A91" si="8">+A84+1</f>
        <v>2</v>
      </c>
      <c r="B85" s="39" t="s">
        <v>280</v>
      </c>
      <c r="C85" s="41" t="s">
        <v>281</v>
      </c>
      <c r="D85" s="41"/>
      <c r="E85" s="42"/>
      <c r="F85" s="43"/>
      <c r="G85" s="43"/>
      <c r="H85" s="43"/>
      <c r="I85" s="42"/>
      <c r="J85" s="43" t="s">
        <v>45</v>
      </c>
      <c r="K85" s="43" t="s">
        <v>45</v>
      </c>
      <c r="L85" s="43" t="s">
        <v>45</v>
      </c>
      <c r="M85" s="42"/>
      <c r="N85" s="43"/>
      <c r="O85" s="43"/>
      <c r="P85" s="43"/>
      <c r="Q85" s="42"/>
      <c r="R85" s="43"/>
      <c r="S85" s="43"/>
      <c r="T85" s="43"/>
      <c r="U85" s="42"/>
      <c r="V85" s="31" t="s">
        <v>282</v>
      </c>
      <c r="W85" s="30"/>
      <c r="X85" s="45">
        <f>+Y85/$X$2</f>
        <v>1666.6666666666667</v>
      </c>
      <c r="Y85" s="238">
        <v>1000000</v>
      </c>
      <c r="Z85" s="30"/>
      <c r="AA85" s="30"/>
      <c r="AB85" s="31" t="s">
        <v>283</v>
      </c>
    </row>
    <row r="86" spans="1:28" ht="13.5" x14ac:dyDescent="0.2">
      <c r="A86" s="30"/>
      <c r="B86" s="318" t="s">
        <v>539</v>
      </c>
      <c r="C86" s="318"/>
      <c r="D86" s="318"/>
      <c r="E86" s="318"/>
      <c r="F86" s="318"/>
      <c r="G86" s="318"/>
      <c r="H86" s="318"/>
      <c r="I86" s="318"/>
      <c r="J86" s="318"/>
      <c r="K86" s="318"/>
      <c r="L86" s="318"/>
      <c r="M86" s="318"/>
      <c r="N86" s="318"/>
      <c r="O86" s="318"/>
      <c r="P86" s="318"/>
      <c r="Q86" s="318"/>
      <c r="R86" s="318"/>
      <c r="S86" s="318"/>
      <c r="T86" s="318"/>
      <c r="U86" s="318"/>
      <c r="V86" s="318"/>
      <c r="W86" s="318"/>
      <c r="X86" s="318"/>
      <c r="Y86" s="318"/>
      <c r="Z86" s="318"/>
      <c r="AA86" s="318"/>
      <c r="AB86" s="318"/>
    </row>
    <row r="87" spans="1:28" ht="38.25" x14ac:dyDescent="0.2">
      <c r="A87" s="30">
        <v>1</v>
      </c>
      <c r="B87" s="39" t="s">
        <v>531</v>
      </c>
      <c r="C87" s="41" t="s">
        <v>534</v>
      </c>
      <c r="D87" s="41"/>
      <c r="E87" s="42"/>
      <c r="F87" s="43"/>
      <c r="G87" s="43"/>
      <c r="H87" s="30"/>
      <c r="I87" s="42"/>
      <c r="J87" s="43"/>
      <c r="K87" s="43" t="s">
        <v>45</v>
      </c>
      <c r="L87" s="43"/>
      <c r="M87" s="42"/>
      <c r="N87" s="43"/>
      <c r="O87" s="43"/>
      <c r="P87" s="43"/>
      <c r="Q87" s="42"/>
      <c r="R87" s="43"/>
      <c r="S87" s="43"/>
      <c r="T87" s="43"/>
      <c r="U87" s="42"/>
      <c r="V87" s="31" t="s">
        <v>533</v>
      </c>
      <c r="W87" s="30"/>
      <c r="X87" s="45">
        <f t="shared" ref="X87" si="9">+Y87/$X$2</f>
        <v>66666.666666666672</v>
      </c>
      <c r="Y87" s="66">
        <v>40000000</v>
      </c>
      <c r="Z87" s="30"/>
      <c r="AA87" s="30"/>
      <c r="AB87" s="31"/>
    </row>
    <row r="88" spans="1:28" x14ac:dyDescent="0.2">
      <c r="A88" s="30"/>
      <c r="B88" s="319" t="s">
        <v>289</v>
      </c>
      <c r="C88" s="319"/>
      <c r="D88" s="319"/>
      <c r="E88" s="319"/>
      <c r="F88" s="319"/>
      <c r="G88" s="319"/>
      <c r="H88" s="319"/>
      <c r="I88" s="319"/>
      <c r="J88" s="319"/>
      <c r="K88" s="319"/>
      <c r="L88" s="319"/>
      <c r="M88" s="319"/>
      <c r="N88" s="319"/>
      <c r="O88" s="319"/>
      <c r="P88" s="319"/>
      <c r="Q88" s="319"/>
      <c r="R88" s="319"/>
      <c r="S88" s="319"/>
      <c r="T88" s="319"/>
      <c r="U88" s="319"/>
      <c r="V88" s="319"/>
      <c r="W88" s="319"/>
      <c r="X88" s="319"/>
      <c r="Y88" s="319"/>
      <c r="Z88" s="319"/>
      <c r="AA88" s="319"/>
      <c r="AB88" s="319"/>
    </row>
    <row r="89" spans="1:28" ht="13.5" x14ac:dyDescent="0.2">
      <c r="A89" s="30"/>
      <c r="B89" s="318" t="s">
        <v>290</v>
      </c>
      <c r="C89" s="318"/>
      <c r="D89" s="318"/>
      <c r="E89" s="318"/>
      <c r="F89" s="318"/>
      <c r="G89" s="318"/>
      <c r="H89" s="318"/>
      <c r="I89" s="318"/>
      <c r="J89" s="318"/>
      <c r="K89" s="318"/>
      <c r="L89" s="318"/>
      <c r="M89" s="318"/>
      <c r="N89" s="318"/>
      <c r="O89" s="318"/>
      <c r="P89" s="318"/>
      <c r="Q89" s="318"/>
      <c r="R89" s="318"/>
      <c r="S89" s="318"/>
      <c r="T89" s="318"/>
      <c r="U89" s="318"/>
      <c r="V89" s="318"/>
      <c r="W89" s="318"/>
      <c r="X89" s="318"/>
      <c r="Y89" s="318"/>
      <c r="Z89" s="318"/>
      <c r="AA89" s="318"/>
      <c r="AB89" s="318"/>
    </row>
    <row r="90" spans="1:28" ht="76.5" x14ac:dyDescent="0.2">
      <c r="A90" s="30">
        <f>1</f>
        <v>1</v>
      </c>
      <c r="B90" s="39" t="s">
        <v>297</v>
      </c>
      <c r="C90" s="39" t="s">
        <v>298</v>
      </c>
      <c r="D90" s="30"/>
      <c r="E90" s="32"/>
      <c r="F90" s="43" t="s">
        <v>45</v>
      </c>
      <c r="G90" s="43" t="s">
        <v>45</v>
      </c>
      <c r="H90" s="43" t="s">
        <v>45</v>
      </c>
      <c r="I90" s="32"/>
      <c r="J90" s="43" t="s">
        <v>45</v>
      </c>
      <c r="K90" s="43" t="s">
        <v>45</v>
      </c>
      <c r="L90" s="43" t="s">
        <v>45</v>
      </c>
      <c r="M90" s="32"/>
      <c r="N90" s="43" t="s">
        <v>45</v>
      </c>
      <c r="O90" s="43" t="s">
        <v>45</v>
      </c>
      <c r="P90" s="43" t="s">
        <v>45</v>
      </c>
      <c r="Q90" s="32"/>
      <c r="R90" s="43" t="s">
        <v>45</v>
      </c>
      <c r="S90" s="43" t="s">
        <v>45</v>
      </c>
      <c r="T90" s="43" t="s">
        <v>45</v>
      </c>
      <c r="U90" s="42"/>
      <c r="V90" s="31" t="s">
        <v>299</v>
      </c>
      <c r="W90" s="42"/>
      <c r="X90" s="45">
        <f>+Y90/$X$2</f>
        <v>6348.4</v>
      </c>
      <c r="Y90" s="238">
        <v>3809040</v>
      </c>
      <c r="Z90" s="30"/>
      <c r="AA90" s="30"/>
      <c r="AB90" s="31" t="s">
        <v>178</v>
      </c>
    </row>
    <row r="91" spans="1:28" ht="51" x14ac:dyDescent="0.2">
      <c r="A91" s="30">
        <f t="shared" si="8"/>
        <v>2</v>
      </c>
      <c r="B91" s="39" t="s">
        <v>300</v>
      </c>
      <c r="C91" s="39" t="s">
        <v>301</v>
      </c>
      <c r="D91" s="30"/>
      <c r="E91" s="32"/>
      <c r="F91" s="43" t="s">
        <v>45</v>
      </c>
      <c r="G91" s="43" t="s">
        <v>45</v>
      </c>
      <c r="H91" s="43" t="s">
        <v>45</v>
      </c>
      <c r="I91" s="32"/>
      <c r="J91" s="43" t="s">
        <v>45</v>
      </c>
      <c r="K91" s="43" t="s">
        <v>45</v>
      </c>
      <c r="L91" s="43" t="s">
        <v>45</v>
      </c>
      <c r="M91" s="32"/>
      <c r="N91" s="43" t="s">
        <v>45</v>
      </c>
      <c r="O91" s="43" t="s">
        <v>45</v>
      </c>
      <c r="P91" s="43" t="s">
        <v>45</v>
      </c>
      <c r="Q91" s="32"/>
      <c r="R91" s="43" t="s">
        <v>45</v>
      </c>
      <c r="S91" s="43" t="s">
        <v>45</v>
      </c>
      <c r="T91" s="43" t="s">
        <v>45</v>
      </c>
      <c r="U91" s="42"/>
      <c r="V91" s="31" t="s">
        <v>302</v>
      </c>
      <c r="W91" s="42"/>
      <c r="X91" s="45">
        <f>+Y91/$X$2</f>
        <v>16666.666666666668</v>
      </c>
      <c r="Y91" s="238">
        <v>10000000</v>
      </c>
      <c r="Z91" s="30"/>
      <c r="AA91" s="30"/>
      <c r="AB91" s="31" t="s">
        <v>178</v>
      </c>
    </row>
    <row r="92" spans="1:28" ht="13.5" x14ac:dyDescent="0.2">
      <c r="A92" s="30"/>
      <c r="B92" s="318" t="s">
        <v>303</v>
      </c>
      <c r="C92" s="318"/>
      <c r="D92" s="318"/>
      <c r="E92" s="318"/>
      <c r="F92" s="318"/>
      <c r="G92" s="318"/>
      <c r="H92" s="318"/>
      <c r="I92" s="318"/>
      <c r="J92" s="318"/>
      <c r="K92" s="318"/>
      <c r="L92" s="318"/>
      <c r="M92" s="318"/>
      <c r="N92" s="318"/>
      <c r="O92" s="318"/>
      <c r="P92" s="318"/>
      <c r="Q92" s="318"/>
      <c r="R92" s="318"/>
      <c r="S92" s="318"/>
      <c r="T92" s="318"/>
      <c r="U92" s="318"/>
      <c r="V92" s="318"/>
      <c r="W92" s="318"/>
      <c r="X92" s="318"/>
      <c r="Y92" s="318"/>
      <c r="Z92" s="318"/>
      <c r="AA92" s="318"/>
      <c r="AB92" s="318"/>
    </row>
    <row r="93" spans="1:28" ht="51" x14ac:dyDescent="0.2">
      <c r="A93" s="30">
        <v>1</v>
      </c>
      <c r="B93" s="39" t="s">
        <v>313</v>
      </c>
      <c r="C93" s="39" t="s">
        <v>314</v>
      </c>
      <c r="D93" s="217"/>
      <c r="E93" s="32"/>
      <c r="F93" s="43"/>
      <c r="G93" s="43"/>
      <c r="H93" s="43"/>
      <c r="I93" s="32"/>
      <c r="J93" s="43" t="s">
        <v>45</v>
      </c>
      <c r="K93" s="43"/>
      <c r="L93" s="43"/>
      <c r="M93" s="32"/>
      <c r="N93" s="43"/>
      <c r="O93" s="43"/>
      <c r="P93" s="43"/>
      <c r="Q93" s="32"/>
      <c r="R93" s="43"/>
      <c r="S93" s="43"/>
      <c r="T93" s="43"/>
      <c r="U93" s="32"/>
      <c r="V93" s="39" t="s">
        <v>535</v>
      </c>
      <c r="W93" s="42"/>
      <c r="X93" s="35">
        <f>+Y93/$X$2</f>
        <v>1332.4166666666667</v>
      </c>
      <c r="Y93" s="249">
        <v>799450</v>
      </c>
      <c r="Z93" s="48"/>
      <c r="AA93" s="48"/>
      <c r="AB93" s="29" t="s">
        <v>178</v>
      </c>
    </row>
    <row r="94" spans="1:28" ht="38.25" x14ac:dyDescent="0.2">
      <c r="A94" s="30">
        <f>+A93+1</f>
        <v>2</v>
      </c>
      <c r="B94" s="39" t="s">
        <v>316</v>
      </c>
      <c r="C94" s="39" t="s">
        <v>572</v>
      </c>
      <c r="D94" s="217"/>
      <c r="E94" s="32"/>
      <c r="F94" s="43" t="s">
        <v>45</v>
      </c>
      <c r="G94" s="43" t="s">
        <v>45</v>
      </c>
      <c r="H94" s="43" t="s">
        <v>45</v>
      </c>
      <c r="I94" s="32"/>
      <c r="J94" s="43"/>
      <c r="K94" s="43"/>
      <c r="L94" s="43"/>
      <c r="M94" s="32"/>
      <c r="N94" s="43"/>
      <c r="O94" s="43"/>
      <c r="P94" s="43"/>
      <c r="Q94" s="32"/>
      <c r="R94" s="43"/>
      <c r="S94" s="43"/>
      <c r="T94" s="43"/>
      <c r="U94" s="32"/>
      <c r="V94" s="39" t="s">
        <v>318</v>
      </c>
      <c r="W94" s="42"/>
      <c r="X94" s="35">
        <f>+Y94/$X$2</f>
        <v>28070.662083333333</v>
      </c>
      <c r="Y94" s="249">
        <f>15563636+25575225*0.05</f>
        <v>16842397.25</v>
      </c>
      <c r="Z94" s="48"/>
      <c r="AA94" s="48"/>
      <c r="AB94" s="29" t="s">
        <v>178</v>
      </c>
    </row>
    <row r="95" spans="1:28" x14ac:dyDescent="0.2">
      <c r="X95" s="233"/>
      <c r="Y95" s="233"/>
    </row>
    <row r="96" spans="1:28" x14ac:dyDescent="0.2">
      <c r="X96" s="233"/>
      <c r="Y96" s="317">
        <f>SUM(Y93:Y94,Y10:Y27,Y29,Y31,Y33,Y36,Y38:Y42,Y44,Y47:Y51,Y53,Y55:Y59,Y61:Y67,Y69:Y75,Y78:Y79,Y81:Y82,Y84:Y85,Y87,Y90:Y91)</f>
        <v>668574215.70000005</v>
      </c>
    </row>
    <row r="97" spans="24:25" x14ac:dyDescent="0.2">
      <c r="X97" s="233"/>
      <c r="Y97" s="233"/>
    </row>
    <row r="98" spans="24:25" x14ac:dyDescent="0.2">
      <c r="X98" s="233"/>
      <c r="Y98" s="233"/>
    </row>
  </sheetData>
  <mergeCells count="48">
    <mergeCell ref="B92:AB92"/>
    <mergeCell ref="B77:AB77"/>
    <mergeCell ref="B80:AB80"/>
    <mergeCell ref="B83:AB83"/>
    <mergeCell ref="B86:AB86"/>
    <mergeCell ref="B88:AB88"/>
    <mergeCell ref="B89:AB89"/>
    <mergeCell ref="B76:AB76"/>
    <mergeCell ref="B32:AB32"/>
    <mergeCell ref="B34:AB34"/>
    <mergeCell ref="B35:AB35"/>
    <mergeCell ref="B37:AB37"/>
    <mergeCell ref="B43:AB43"/>
    <mergeCell ref="B45:AB45"/>
    <mergeCell ref="B46:AB46"/>
    <mergeCell ref="B52:AB52"/>
    <mergeCell ref="B54:AB54"/>
    <mergeCell ref="B60:AB60"/>
    <mergeCell ref="B68:AB68"/>
    <mergeCell ref="AB6:AB7"/>
    <mergeCell ref="B8:AB8"/>
    <mergeCell ref="B9:AB9"/>
    <mergeCell ref="B28:AB28"/>
    <mergeCell ref="E6:E7"/>
    <mergeCell ref="F6:H6"/>
    <mergeCell ref="I6:I7"/>
    <mergeCell ref="B30:AB30"/>
    <mergeCell ref="V6:V7"/>
    <mergeCell ref="W6:W7"/>
    <mergeCell ref="X6:X7"/>
    <mergeCell ref="Y6:Y7"/>
    <mergeCell ref="Z6:Z7"/>
    <mergeCell ref="J6:L6"/>
    <mergeCell ref="M6:M7"/>
    <mergeCell ref="N6:P6"/>
    <mergeCell ref="Q6:Q7"/>
    <mergeCell ref="R6:T6"/>
    <mergeCell ref="U6:U7"/>
    <mergeCell ref="B6:B7"/>
    <mergeCell ref="C6:C7"/>
    <mergeCell ref="D6:D7"/>
    <mergeCell ref="AA6:AA7"/>
    <mergeCell ref="E5:AB5"/>
    <mergeCell ref="G1:AB1"/>
    <mergeCell ref="G2:H2"/>
    <mergeCell ref="E3:AB3"/>
    <mergeCell ref="G4:H4"/>
    <mergeCell ref="I4:AB4"/>
  </mergeCells>
  <pageMargins left="0.7" right="0.7" top="0.75" bottom="0.75" header="0.3" footer="0.3"/>
  <pageSetup scale="31" fitToHeight="0" orientation="portrait" r:id="rId1"/>
  <legacy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2:K9"/>
  <sheetViews>
    <sheetView workbookViewId="0"/>
  </sheetViews>
  <sheetFormatPr baseColWidth="10" defaultColWidth="11.42578125" defaultRowHeight="15" x14ac:dyDescent="0.25"/>
  <cols>
    <col min="1" max="5" width="11.42578125" style="107"/>
    <col min="6" max="6" width="17.85546875" style="107" customWidth="1"/>
    <col min="7" max="7" width="19.5703125" style="107" customWidth="1"/>
    <col min="8" max="8" width="11.42578125" style="107"/>
    <col min="9" max="9" width="18.85546875" style="108" customWidth="1"/>
    <col min="10" max="16384" width="11.42578125" style="107"/>
  </cols>
  <sheetData>
    <row r="2" spans="1:11" x14ac:dyDescent="0.25">
      <c r="B2" s="67" t="s">
        <v>290</v>
      </c>
    </row>
    <row r="4" spans="1:11" x14ac:dyDescent="0.25">
      <c r="B4" s="68" t="s">
        <v>384</v>
      </c>
      <c r="C4" s="68" t="s">
        <v>385</v>
      </c>
      <c r="D4" s="68" t="s">
        <v>386</v>
      </c>
      <c r="E4" s="68"/>
      <c r="F4" s="68" t="s">
        <v>387</v>
      </c>
      <c r="G4" s="68" t="s">
        <v>388</v>
      </c>
      <c r="H4" s="68" t="s">
        <v>389</v>
      </c>
      <c r="I4" s="103" t="s">
        <v>417</v>
      </c>
    </row>
    <row r="5" spans="1:11" ht="140.25" x14ac:dyDescent="0.25">
      <c r="A5" s="107">
        <v>1</v>
      </c>
      <c r="B5" s="39" t="s">
        <v>291</v>
      </c>
      <c r="C5" s="39" t="s">
        <v>292</v>
      </c>
      <c r="D5" s="31" t="s">
        <v>502</v>
      </c>
      <c r="E5" s="109">
        <v>110000</v>
      </c>
      <c r="F5" s="64">
        <f>E5*500</f>
        <v>55000000</v>
      </c>
      <c r="G5" s="64">
        <v>54712913</v>
      </c>
      <c r="H5" s="69">
        <f>+G5/F5</f>
        <v>0.99478023636363633</v>
      </c>
      <c r="I5" s="103">
        <v>2595</v>
      </c>
      <c r="K5" s="108">
        <f>1297419/500</f>
        <v>2594.8380000000002</v>
      </c>
    </row>
    <row r="6" spans="1:11" ht="191.25" x14ac:dyDescent="0.25">
      <c r="A6" s="107">
        <v>2</v>
      </c>
      <c r="B6" s="39" t="s">
        <v>294</v>
      </c>
      <c r="C6" s="39" t="s">
        <v>295</v>
      </c>
      <c r="D6" s="31" t="s">
        <v>503</v>
      </c>
      <c r="E6" s="109">
        <v>145270</v>
      </c>
      <c r="F6" s="64">
        <f>E6*500</f>
        <v>72635000</v>
      </c>
      <c r="G6" s="64">
        <v>58691979</v>
      </c>
      <c r="H6" s="69">
        <f>+G6/F6</f>
        <v>0.80803991188820812</v>
      </c>
      <c r="I6" s="103">
        <v>13206</v>
      </c>
      <c r="K6" s="107">
        <f>6603204/500</f>
        <v>13206.407999999999</v>
      </c>
    </row>
    <row r="7" spans="1:11" ht="76.5" x14ac:dyDescent="0.25">
      <c r="B7" s="39" t="s">
        <v>297</v>
      </c>
      <c r="C7" s="39" t="s">
        <v>504</v>
      </c>
      <c r="D7" s="31"/>
      <c r="E7" s="109"/>
      <c r="F7" s="64"/>
      <c r="G7" s="64"/>
      <c r="H7" s="69"/>
      <c r="I7" s="103">
        <v>8000</v>
      </c>
      <c r="K7" s="107">
        <f>2000000/500</f>
        <v>4000</v>
      </c>
    </row>
    <row r="8" spans="1:11" ht="51" x14ac:dyDescent="0.25">
      <c r="B8" s="39" t="s">
        <v>300</v>
      </c>
      <c r="C8" s="39"/>
      <c r="D8" s="31"/>
      <c r="E8" s="109"/>
      <c r="F8" s="64"/>
      <c r="G8" s="64"/>
      <c r="H8" s="69"/>
      <c r="I8" s="103">
        <v>20000</v>
      </c>
      <c r="K8" s="107">
        <f>10000000/500</f>
        <v>20000</v>
      </c>
    </row>
    <row r="9" spans="1:11" x14ac:dyDescent="0.25">
      <c r="B9" s="68" t="s">
        <v>7</v>
      </c>
      <c r="C9" s="68"/>
      <c r="D9" s="68"/>
      <c r="E9" s="68"/>
      <c r="F9" s="68"/>
      <c r="G9" s="68"/>
      <c r="H9" s="68"/>
      <c r="I9" s="103">
        <f>SUM(I5:I8)</f>
        <v>43801</v>
      </c>
    </row>
  </sheetData>
  <pageMargins left="0.7" right="0.7" top="0.75" bottom="0.75" header="0.3" footer="0.3"/>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B2:N12"/>
  <sheetViews>
    <sheetView workbookViewId="0"/>
  </sheetViews>
  <sheetFormatPr baseColWidth="10" defaultColWidth="11.42578125" defaultRowHeight="15" x14ac:dyDescent="0.25"/>
  <cols>
    <col min="7" max="7" width="15.85546875" customWidth="1"/>
    <col min="8" max="8" width="17.85546875" customWidth="1"/>
    <col min="10" max="10" width="16.42578125" style="2" customWidth="1"/>
  </cols>
  <sheetData>
    <row r="2" spans="2:14" x14ac:dyDescent="0.25">
      <c r="C2" s="59" t="s">
        <v>303</v>
      </c>
    </row>
    <row r="4" spans="2:14" x14ac:dyDescent="0.25">
      <c r="B4" s="60"/>
      <c r="C4" s="60" t="s">
        <v>384</v>
      </c>
      <c r="D4" s="60" t="s">
        <v>385</v>
      </c>
      <c r="E4" s="60" t="s">
        <v>386</v>
      </c>
      <c r="F4" s="60"/>
      <c r="G4" s="60" t="s">
        <v>387</v>
      </c>
      <c r="H4" s="60" t="s">
        <v>388</v>
      </c>
      <c r="I4" s="60" t="s">
        <v>389</v>
      </c>
      <c r="J4" s="106" t="s">
        <v>417</v>
      </c>
    </row>
    <row r="5" spans="2:14" ht="51" x14ac:dyDescent="0.25">
      <c r="B5" s="198">
        <v>1</v>
      </c>
      <c r="C5" s="199" t="s">
        <v>505</v>
      </c>
      <c r="D5" s="199" t="s">
        <v>506</v>
      </c>
      <c r="E5" s="199" t="s">
        <v>507</v>
      </c>
      <c r="F5" s="200">
        <v>7200</v>
      </c>
      <c r="G5" s="201">
        <f t="shared" ref="G5:G10" si="0">F5*500</f>
        <v>3600000</v>
      </c>
      <c r="H5" s="202">
        <v>2522035</v>
      </c>
      <c r="I5" s="203">
        <f t="shared" ref="I5:I10" si="1">+H5/G5</f>
        <v>0.70056527777777777</v>
      </c>
      <c r="J5" s="204"/>
    </row>
    <row r="6" spans="2:14" ht="127.5" x14ac:dyDescent="0.25">
      <c r="B6" s="198">
        <f>+B5+1</f>
        <v>2</v>
      </c>
      <c r="C6" s="199" t="s">
        <v>508</v>
      </c>
      <c r="D6" s="199" t="s">
        <v>509</v>
      </c>
      <c r="E6" s="199" t="s">
        <v>510</v>
      </c>
      <c r="F6" s="200">
        <v>35000</v>
      </c>
      <c r="G6" s="201">
        <f t="shared" si="0"/>
        <v>17500000</v>
      </c>
      <c r="H6" s="202">
        <v>21102668</v>
      </c>
      <c r="I6" s="203">
        <f t="shared" si="1"/>
        <v>1.2058667428571428</v>
      </c>
      <c r="J6" s="204"/>
      <c r="L6">
        <v>1706427</v>
      </c>
      <c r="M6" s="2">
        <f>+L6/500</f>
        <v>3412.8539999999998</v>
      </c>
    </row>
    <row r="7" spans="2:14" ht="51" x14ac:dyDescent="0.25">
      <c r="B7" s="30">
        <f>+B6+1</f>
        <v>3</v>
      </c>
      <c r="C7" s="39" t="s">
        <v>304</v>
      </c>
      <c r="D7" s="39" t="s">
        <v>305</v>
      </c>
      <c r="E7" s="34" t="s">
        <v>511</v>
      </c>
      <c r="F7" s="37">
        <v>20000</v>
      </c>
      <c r="G7" s="64">
        <f t="shared" si="0"/>
        <v>10000000</v>
      </c>
      <c r="H7" s="66">
        <v>10807143</v>
      </c>
      <c r="I7" s="69">
        <f t="shared" si="1"/>
        <v>1.0807142999999999</v>
      </c>
      <c r="J7" s="96">
        <v>3582</v>
      </c>
      <c r="L7">
        <v>1791025</v>
      </c>
      <c r="M7" s="2">
        <f>+L7/500</f>
        <v>3582.05</v>
      </c>
    </row>
    <row r="8" spans="2:14" ht="63.75" x14ac:dyDescent="0.25">
      <c r="B8" s="30">
        <f>+B7+1</f>
        <v>4</v>
      </c>
      <c r="C8" s="39" t="s">
        <v>307</v>
      </c>
      <c r="D8" s="39" t="s">
        <v>308</v>
      </c>
      <c r="E8" s="34" t="s">
        <v>309</v>
      </c>
      <c r="F8" s="37">
        <v>7200</v>
      </c>
      <c r="G8" s="64">
        <f t="shared" si="0"/>
        <v>3600000</v>
      </c>
      <c r="H8" s="66"/>
      <c r="I8" s="69">
        <f t="shared" si="1"/>
        <v>0</v>
      </c>
      <c r="J8" s="96">
        <v>6372</v>
      </c>
      <c r="L8">
        <v>3186000</v>
      </c>
      <c r="M8" s="2">
        <f>+L8/500</f>
        <v>6372</v>
      </c>
      <c r="N8">
        <f>21500000/500</f>
        <v>43000</v>
      </c>
    </row>
    <row r="9" spans="2:14" ht="281.25" x14ac:dyDescent="0.25">
      <c r="B9" s="30">
        <f>+B8+1</f>
        <v>5</v>
      </c>
      <c r="C9" s="39" t="s">
        <v>310</v>
      </c>
      <c r="D9" s="71" t="s">
        <v>311</v>
      </c>
      <c r="E9" s="72" t="s">
        <v>312</v>
      </c>
      <c r="F9" s="33">
        <v>98000</v>
      </c>
      <c r="G9" s="64">
        <f t="shared" si="0"/>
        <v>49000000</v>
      </c>
      <c r="H9" s="66">
        <v>14433793</v>
      </c>
      <c r="I9" s="69">
        <f t="shared" si="1"/>
        <v>0.29456720408163267</v>
      </c>
      <c r="J9" s="205">
        <f>43000</f>
        <v>43000</v>
      </c>
      <c r="L9" s="61">
        <v>33678850</v>
      </c>
      <c r="M9" s="180">
        <f>+L9/500</f>
        <v>67357.7</v>
      </c>
      <c r="N9" s="61"/>
    </row>
    <row r="10" spans="2:14" ht="229.5" x14ac:dyDescent="0.25">
      <c r="B10" s="30">
        <f>+B9+1</f>
        <v>6</v>
      </c>
      <c r="C10" s="39" t="s">
        <v>313</v>
      </c>
      <c r="D10" s="39" t="s">
        <v>512</v>
      </c>
      <c r="E10" s="39" t="s">
        <v>315</v>
      </c>
      <c r="F10" s="45">
        <v>30000</v>
      </c>
      <c r="G10" s="64">
        <f t="shared" si="0"/>
        <v>15000000</v>
      </c>
      <c r="H10" s="66"/>
      <c r="I10" s="69">
        <f t="shared" si="1"/>
        <v>0</v>
      </c>
      <c r="J10" s="96">
        <v>30000</v>
      </c>
    </row>
    <row r="11" spans="2:14" x14ac:dyDescent="0.25">
      <c r="B11" s="30"/>
      <c r="C11" s="39" t="s">
        <v>513</v>
      </c>
      <c r="D11" s="39"/>
      <c r="E11" s="39"/>
      <c r="F11" s="45"/>
      <c r="G11" s="64"/>
      <c r="H11" s="66"/>
      <c r="I11" s="69"/>
      <c r="J11" s="96">
        <f>31127259/500</f>
        <v>62254.517999999996</v>
      </c>
    </row>
    <row r="12" spans="2:14" x14ac:dyDescent="0.25">
      <c r="B12" s="68"/>
      <c r="C12" s="39" t="s">
        <v>7</v>
      </c>
      <c r="D12" s="68"/>
      <c r="E12" s="68"/>
      <c r="F12" s="68"/>
      <c r="G12" s="68"/>
      <c r="H12" s="68"/>
      <c r="I12" s="68"/>
      <c r="J12" s="103">
        <f>SUM(J5:J11)</f>
        <v>145208.51799999998</v>
      </c>
    </row>
  </sheetData>
  <pageMargins left="0.7" right="0.7" top="0.75" bottom="0.75" header="0.3" footer="0.3"/>
  <legacy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A8D9C1-AAAA-4E7C-A9E4-8F69821F7965}">
  <dimension ref="A6:E10"/>
  <sheetViews>
    <sheetView workbookViewId="0">
      <selection activeCell="M4" sqref="M4"/>
    </sheetView>
  </sheetViews>
  <sheetFormatPr baseColWidth="10" defaultRowHeight="15" x14ac:dyDescent="0.25"/>
  <cols>
    <col min="1" max="1" width="17.7109375" customWidth="1"/>
    <col min="2" max="2" width="18.85546875" customWidth="1"/>
    <col min="3" max="3" width="18.28515625" customWidth="1"/>
    <col min="4" max="4" width="15.42578125" customWidth="1"/>
    <col min="5" max="5" width="14.5703125" customWidth="1"/>
  </cols>
  <sheetData>
    <row r="6" spans="1:5" ht="15.75" thickBot="1" x14ac:dyDescent="0.3"/>
    <row r="7" spans="1:5" ht="16.5" thickBot="1" x14ac:dyDescent="0.3">
      <c r="A7" s="315">
        <v>668574215</v>
      </c>
      <c r="B7" s="316" t="s">
        <v>563</v>
      </c>
      <c r="C7" s="316" t="s">
        <v>564</v>
      </c>
      <c r="D7" s="316" t="s">
        <v>565</v>
      </c>
      <c r="E7" s="316" t="s">
        <v>566</v>
      </c>
    </row>
    <row r="8" spans="1:5" x14ac:dyDescent="0.25">
      <c r="A8">
        <f>+A7</f>
        <v>668574215</v>
      </c>
      <c r="B8" s="2">
        <f>42962566+44512566+56890637</f>
        <v>144365769</v>
      </c>
      <c r="C8" s="2">
        <f>58045899+58145349+68326933</f>
        <v>184518181</v>
      </c>
      <c r="D8" s="2">
        <v>169845132</v>
      </c>
      <c r="E8" s="2">
        <v>169845133</v>
      </c>
    </row>
    <row r="9" spans="1:5" x14ac:dyDescent="0.25">
      <c r="C9" s="3">
        <f>+A8-B8-C8</f>
        <v>339690265</v>
      </c>
    </row>
    <row r="10" spans="1:5" x14ac:dyDescent="0.25">
      <c r="C10" s="93">
        <f>+C9/2</f>
        <v>169845132.5</v>
      </c>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16"/>
  <sheetViews>
    <sheetView workbookViewId="0">
      <selection activeCell="E16" sqref="E16"/>
    </sheetView>
  </sheetViews>
  <sheetFormatPr baseColWidth="10" defaultColWidth="11.42578125" defaultRowHeight="15" x14ac:dyDescent="0.25"/>
  <cols>
    <col min="1" max="1" width="11.42578125" style="220"/>
    <col min="2" max="2" width="31.42578125" style="221" customWidth="1"/>
    <col min="3" max="3" width="24" style="220" customWidth="1"/>
    <col min="4" max="4" width="18.42578125" style="220" customWidth="1"/>
    <col min="5" max="5" width="16.7109375" style="220" bestFit="1" customWidth="1"/>
    <col min="6" max="6" width="15" style="220" customWidth="1"/>
    <col min="7" max="9" width="11.42578125" style="220"/>
    <col min="10" max="10" width="15.5703125" style="220" bestFit="1" customWidth="1"/>
    <col min="11" max="16384" width="11.42578125" style="220"/>
  </cols>
  <sheetData>
    <row r="1" spans="1:10" x14ac:dyDescent="0.25">
      <c r="D1" s="220">
        <v>500</v>
      </c>
    </row>
    <row r="2" spans="1:10" x14ac:dyDescent="0.25">
      <c r="B2" s="221" t="s">
        <v>0</v>
      </c>
    </row>
    <row r="3" spans="1:10" s="228" customFormat="1" ht="14.25" x14ac:dyDescent="0.2">
      <c r="A3" s="227"/>
      <c r="B3" s="227" t="s">
        <v>1</v>
      </c>
      <c r="C3" s="227" t="s">
        <v>522</v>
      </c>
      <c r="D3" s="227" t="s">
        <v>523</v>
      </c>
      <c r="E3" s="227"/>
    </row>
    <row r="4" spans="1:10" ht="30" x14ac:dyDescent="0.25">
      <c r="A4" s="222">
        <v>1</v>
      </c>
      <c r="B4" s="223" t="s">
        <v>2</v>
      </c>
      <c r="C4" s="224">
        <f>SUM('PTBA 2023'!AA10:AA27,'PTBA 2023'!AA29:AA30,'PTBA 2023'!AA32:AA33,'PTBA 2023'!AA35)</f>
        <v>160370742.44999999</v>
      </c>
      <c r="D4" s="224"/>
      <c r="E4" s="225">
        <f t="shared" ref="E4:E9" si="0">+C4/$C$9</f>
        <v>0.20474038909461412</v>
      </c>
    </row>
    <row r="5" spans="1:10" ht="45" x14ac:dyDescent="0.25">
      <c r="A5" s="222">
        <v>2</v>
      </c>
      <c r="B5" s="223" t="s">
        <v>3</v>
      </c>
      <c r="C5" s="224">
        <f>SUM('PTBA 2023'!AA38:AA41,'PTBA 2023'!AA43:AA46,'PTBA 2023'!AA48)</f>
        <v>113500000</v>
      </c>
      <c r="D5" s="224">
        <f t="shared" ref="D5:D9" si="1">+C5*$D$2</f>
        <v>0</v>
      </c>
      <c r="E5" s="225">
        <f t="shared" si="0"/>
        <v>0.14490195535188596</v>
      </c>
    </row>
    <row r="6" spans="1:10" ht="30" x14ac:dyDescent="0.25">
      <c r="A6" s="222">
        <v>3</v>
      </c>
      <c r="B6" s="223" t="s">
        <v>4</v>
      </c>
      <c r="C6" s="224">
        <f>SUM('PTBA 2023'!AA51:AA55,'PTBA 2023'!AA57:AA58,'PTBA 2023'!X60:AA64,'PTBA 2023'!AA66:AA67,'PTBA 2023'!AA68,'PTBA 2023'!AA69:AA71,'PTBA 2023'!AA72,'PTBA 2023'!AA74:AA79)</f>
        <v>278050477</v>
      </c>
      <c r="D6" s="224">
        <f t="shared" si="1"/>
        <v>0</v>
      </c>
      <c r="E6" s="225">
        <f t="shared" si="0"/>
        <v>0.35497848285308015</v>
      </c>
    </row>
    <row r="7" spans="1:10" ht="30" x14ac:dyDescent="0.25">
      <c r="A7" s="222">
        <v>4</v>
      </c>
      <c r="B7" s="223" t="s">
        <v>5</v>
      </c>
      <c r="C7" s="224">
        <f>SUM('PTBA 2023'!X83:AA91,'PTBA 2023'!AA93:AA94,'PTBA 2023'!AA96:AA98,'PTBA 2023'!AA101)</f>
        <v>200715600</v>
      </c>
      <c r="D7" s="224">
        <f t="shared" si="1"/>
        <v>0</v>
      </c>
      <c r="E7" s="225">
        <f t="shared" si="0"/>
        <v>0.25624742651653748</v>
      </c>
    </row>
    <row r="8" spans="1:10" ht="60" x14ac:dyDescent="0.25">
      <c r="A8" s="222">
        <v>5</v>
      </c>
      <c r="B8" s="223" t="s">
        <v>6</v>
      </c>
      <c r="C8" s="224">
        <f>SUM('PTBA 2023'!AA104:AA107,'PTBA 2023'!AA109:AA112)</f>
        <v>30651437.25</v>
      </c>
      <c r="D8" s="224">
        <f t="shared" si="1"/>
        <v>0</v>
      </c>
      <c r="E8" s="225">
        <f t="shared" si="0"/>
        <v>3.9131746183882238E-2</v>
      </c>
      <c r="J8" s="235"/>
    </row>
    <row r="9" spans="1:10" x14ac:dyDescent="0.25">
      <c r="A9" s="222"/>
      <c r="B9" s="223" t="s">
        <v>7</v>
      </c>
      <c r="C9" s="224">
        <f>SUM(C4:C8)</f>
        <v>783288256.70000005</v>
      </c>
      <c r="D9" s="224">
        <f t="shared" si="1"/>
        <v>0</v>
      </c>
      <c r="E9" s="226">
        <f t="shared" si="0"/>
        <v>1</v>
      </c>
      <c r="J9" s="234"/>
    </row>
    <row r="11" spans="1:10" x14ac:dyDescent="0.25">
      <c r="D11" s="235"/>
    </row>
    <row r="12" spans="1:10" x14ac:dyDescent="0.25">
      <c r="D12" s="235"/>
      <c r="E12" s="235"/>
      <c r="F12" s="236"/>
      <c r="G12" s="237"/>
    </row>
    <row r="13" spans="1:10" x14ac:dyDescent="0.25">
      <c r="D13" s="235"/>
      <c r="E13" s="235"/>
      <c r="F13" s="236"/>
      <c r="G13" s="237"/>
    </row>
    <row r="14" spans="1:10" x14ac:dyDescent="0.25">
      <c r="D14" s="236"/>
    </row>
    <row r="15" spans="1:10" x14ac:dyDescent="0.25">
      <c r="F15" s="235"/>
    </row>
    <row r="16" spans="1:10" x14ac:dyDescent="0.25">
      <c r="F16" s="235"/>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E117"/>
  <sheetViews>
    <sheetView topLeftCell="B62" zoomScale="140" zoomScaleNormal="140" workbookViewId="0">
      <selection activeCell="V64" sqref="V64"/>
    </sheetView>
  </sheetViews>
  <sheetFormatPr baseColWidth="10" defaultColWidth="9.140625" defaultRowHeight="12.75" x14ac:dyDescent="0.2"/>
  <cols>
    <col min="1" max="1" width="5.7109375" style="27" customWidth="1"/>
    <col min="2" max="2" width="28.5703125" style="27" customWidth="1"/>
    <col min="3" max="3" width="17.5703125" style="27" customWidth="1"/>
    <col min="4" max="4" width="7.85546875" style="27" hidden="1" customWidth="1"/>
    <col min="5" max="5" width="5" style="27" hidden="1" customWidth="1"/>
    <col min="6" max="6" width="6.5703125" style="27" hidden="1" customWidth="1"/>
    <col min="7" max="7" width="9.42578125" style="27" hidden="1" customWidth="1"/>
    <col min="8" max="8" width="10.5703125" style="27" hidden="1" customWidth="1"/>
    <col min="9" max="9" width="4.42578125" style="27" hidden="1" customWidth="1"/>
    <col min="10" max="10" width="9.85546875" style="27" hidden="1" customWidth="1"/>
    <col min="11" max="11" width="9" style="27" hidden="1" customWidth="1"/>
    <col min="12" max="12" width="8.5703125" style="27" hidden="1" customWidth="1"/>
    <col min="13" max="13" width="4.42578125" style="27" hidden="1" customWidth="1"/>
    <col min="14" max="14" width="7.42578125" style="27" hidden="1" customWidth="1"/>
    <col min="15" max="15" width="9" style="27" hidden="1" customWidth="1"/>
    <col min="16" max="16" width="8" style="27" hidden="1" customWidth="1"/>
    <col min="17" max="17" width="5.140625" style="27" hidden="1" customWidth="1"/>
    <col min="18" max="18" width="6.42578125" style="27" hidden="1" customWidth="1"/>
    <col min="19" max="19" width="5.5703125" style="27" hidden="1" customWidth="1"/>
    <col min="20" max="20" width="10.42578125" style="27" hidden="1" customWidth="1"/>
    <col min="21" max="21" width="7.85546875" style="27" hidden="1" customWidth="1"/>
    <col min="22" max="22" width="17.7109375" style="27" customWidth="1"/>
    <col min="23" max="23" width="11" style="27" bestFit="1" customWidth="1"/>
    <col min="24" max="27" width="13.5703125" style="27" customWidth="1"/>
    <col min="28" max="28" width="12" style="27" customWidth="1"/>
    <col min="29" max="29" width="14.5703125" style="27" customWidth="1"/>
    <col min="30" max="30" width="29.85546875" style="27" customWidth="1"/>
    <col min="31" max="31" width="9.140625" style="27" customWidth="1"/>
    <col min="32" max="16384" width="9.140625" style="27"/>
  </cols>
  <sheetData>
    <row r="1" spans="1:30" s="18" customFormat="1" x14ac:dyDescent="0.2">
      <c r="B1" s="19" t="s">
        <v>8</v>
      </c>
      <c r="C1" s="20" t="s">
        <v>9</v>
      </c>
      <c r="E1" s="229"/>
      <c r="F1" s="21"/>
      <c r="G1" s="342"/>
      <c r="H1" s="342"/>
      <c r="I1" s="342"/>
      <c r="J1" s="342"/>
      <c r="K1" s="342"/>
      <c r="L1" s="342"/>
      <c r="M1" s="342"/>
      <c r="N1" s="342"/>
      <c r="O1" s="342"/>
      <c r="P1" s="342"/>
      <c r="Q1" s="342"/>
      <c r="R1" s="342"/>
      <c r="S1" s="342"/>
      <c r="T1" s="342"/>
      <c r="U1" s="342"/>
      <c r="V1" s="342"/>
      <c r="W1" s="342"/>
      <c r="X1" s="342"/>
      <c r="Y1" s="342"/>
      <c r="Z1" s="342"/>
      <c r="AA1" s="342"/>
      <c r="AB1" s="342"/>
      <c r="AC1" s="342"/>
      <c r="AD1" s="343"/>
    </row>
    <row r="2" spans="1:30" s="18" customFormat="1" x14ac:dyDescent="0.2">
      <c r="B2" s="22" t="s">
        <v>10</v>
      </c>
      <c r="C2" s="18" t="s">
        <v>11</v>
      </c>
      <c r="E2" s="229"/>
      <c r="F2" s="23"/>
      <c r="G2" s="342" t="s">
        <v>12</v>
      </c>
      <c r="H2" s="342"/>
      <c r="I2" s="229"/>
      <c r="J2" s="229"/>
      <c r="K2" s="229"/>
      <c r="L2" s="229"/>
      <c r="M2" s="229"/>
      <c r="N2" s="229"/>
      <c r="O2" s="229"/>
      <c r="P2" s="229"/>
      <c r="Q2" s="229"/>
      <c r="R2" s="229"/>
      <c r="S2" s="229"/>
      <c r="T2" s="229"/>
      <c r="U2" s="229"/>
      <c r="V2" s="229"/>
      <c r="W2" s="229"/>
      <c r="X2" s="229">
        <v>500</v>
      </c>
      <c r="Y2" s="229"/>
      <c r="Z2" s="229"/>
      <c r="AA2" s="229"/>
      <c r="AB2" s="229"/>
      <c r="AC2" s="229"/>
      <c r="AD2" s="229"/>
    </row>
    <row r="3" spans="1:30" s="18" customFormat="1" x14ac:dyDescent="0.2">
      <c r="B3" s="22" t="s">
        <v>13</v>
      </c>
      <c r="C3" s="18" t="s">
        <v>14</v>
      </c>
      <c r="E3" s="342"/>
      <c r="F3" s="342"/>
      <c r="G3" s="342"/>
      <c r="H3" s="342"/>
      <c r="I3" s="342"/>
      <c r="J3" s="342"/>
      <c r="K3" s="342"/>
      <c r="L3" s="342"/>
      <c r="M3" s="342"/>
      <c r="N3" s="342"/>
      <c r="O3" s="342"/>
      <c r="P3" s="342"/>
      <c r="Q3" s="342"/>
      <c r="R3" s="342"/>
      <c r="S3" s="342"/>
      <c r="T3" s="342"/>
      <c r="U3" s="342"/>
      <c r="V3" s="342"/>
      <c r="W3" s="342"/>
      <c r="X3" s="342"/>
      <c r="Y3" s="342"/>
      <c r="Z3" s="342"/>
      <c r="AA3" s="342"/>
      <c r="AB3" s="342"/>
      <c r="AC3" s="342"/>
      <c r="AD3" s="342"/>
    </row>
    <row r="4" spans="1:30" s="18" customFormat="1" x14ac:dyDescent="0.2">
      <c r="B4" s="22" t="s">
        <v>15</v>
      </c>
      <c r="C4" s="18" t="s">
        <v>16</v>
      </c>
      <c r="E4" s="229"/>
      <c r="F4" s="24"/>
      <c r="G4" s="342" t="s">
        <v>17</v>
      </c>
      <c r="H4" s="342"/>
      <c r="I4" s="342"/>
      <c r="J4" s="342"/>
      <c r="K4" s="342"/>
      <c r="L4" s="342"/>
      <c r="M4" s="342"/>
      <c r="N4" s="342"/>
      <c r="O4" s="342"/>
      <c r="P4" s="342"/>
      <c r="Q4" s="342"/>
      <c r="R4" s="342"/>
      <c r="S4" s="342"/>
      <c r="T4" s="342"/>
      <c r="U4" s="342"/>
      <c r="V4" s="342"/>
      <c r="W4" s="342"/>
      <c r="X4" s="342"/>
      <c r="Y4" s="342"/>
      <c r="Z4" s="342"/>
      <c r="AA4" s="342"/>
      <c r="AB4" s="342"/>
      <c r="AC4" s="342"/>
      <c r="AD4" s="343"/>
    </row>
    <row r="5" spans="1:30" s="18" customFormat="1" x14ac:dyDescent="0.2">
      <c r="B5" s="25" t="s">
        <v>18</v>
      </c>
      <c r="C5" s="26" t="s">
        <v>524</v>
      </c>
      <c r="D5" s="26"/>
      <c r="E5" s="344"/>
      <c r="F5" s="344"/>
      <c r="G5" s="344"/>
      <c r="H5" s="344"/>
      <c r="I5" s="344"/>
      <c r="J5" s="344"/>
      <c r="K5" s="344"/>
      <c r="L5" s="344"/>
      <c r="M5" s="344"/>
      <c r="N5" s="344"/>
      <c r="O5" s="344"/>
      <c r="P5" s="344"/>
      <c r="Q5" s="344"/>
      <c r="R5" s="344"/>
      <c r="S5" s="344"/>
      <c r="T5" s="344"/>
      <c r="U5" s="344"/>
      <c r="V5" s="344"/>
      <c r="W5" s="344"/>
      <c r="X5" s="344"/>
      <c r="Y5" s="344"/>
      <c r="Z5" s="344"/>
      <c r="AA5" s="344"/>
      <c r="AB5" s="344"/>
      <c r="AC5" s="344"/>
      <c r="AD5" s="345"/>
    </row>
    <row r="6" spans="1:30" x14ac:dyDescent="0.2">
      <c r="B6" s="340" t="s">
        <v>19</v>
      </c>
      <c r="C6" s="341" t="s">
        <v>20</v>
      </c>
      <c r="D6" s="333" t="s">
        <v>21</v>
      </c>
      <c r="E6" s="337"/>
      <c r="F6" s="339" t="s">
        <v>525</v>
      </c>
      <c r="G6" s="339"/>
      <c r="H6" s="339"/>
      <c r="I6" s="337"/>
      <c r="J6" s="338" t="s">
        <v>526</v>
      </c>
      <c r="K6" s="338"/>
      <c r="L6" s="338"/>
      <c r="M6" s="337"/>
      <c r="N6" s="339" t="s">
        <v>527</v>
      </c>
      <c r="O6" s="339"/>
      <c r="P6" s="339"/>
      <c r="Q6" s="337"/>
      <c r="R6" s="338" t="s">
        <v>528</v>
      </c>
      <c r="S6" s="338"/>
      <c r="T6" s="338"/>
      <c r="U6" s="337"/>
      <c r="V6" s="333" t="s">
        <v>22</v>
      </c>
      <c r="W6" s="333" t="s">
        <v>23</v>
      </c>
      <c r="X6" s="335" t="s">
        <v>24</v>
      </c>
      <c r="Y6" s="240"/>
      <c r="Z6" s="346" t="s">
        <v>529</v>
      </c>
      <c r="AA6" s="346" t="s">
        <v>530</v>
      </c>
      <c r="AB6" s="333" t="s">
        <v>25</v>
      </c>
      <c r="AC6" s="333" t="s">
        <v>26</v>
      </c>
      <c r="AD6" s="337" t="s">
        <v>27</v>
      </c>
    </row>
    <row r="7" spans="1:30" x14ac:dyDescent="0.2">
      <c r="B7" s="340"/>
      <c r="C7" s="334"/>
      <c r="D7" s="334"/>
      <c r="E7" s="337"/>
      <c r="F7" s="28" t="s">
        <v>28</v>
      </c>
      <c r="G7" s="28" t="s">
        <v>29</v>
      </c>
      <c r="H7" s="28" t="s">
        <v>30</v>
      </c>
      <c r="I7" s="337"/>
      <c r="J7" s="28" t="s">
        <v>31</v>
      </c>
      <c r="K7" s="28" t="s">
        <v>32</v>
      </c>
      <c r="L7" s="28" t="s">
        <v>33</v>
      </c>
      <c r="M7" s="337"/>
      <c r="N7" s="28" t="s">
        <v>34</v>
      </c>
      <c r="O7" s="28" t="s">
        <v>35</v>
      </c>
      <c r="P7" s="28" t="s">
        <v>36</v>
      </c>
      <c r="Q7" s="337"/>
      <c r="R7" s="28" t="s">
        <v>37</v>
      </c>
      <c r="S7" s="28" t="s">
        <v>38</v>
      </c>
      <c r="T7" s="28" t="s">
        <v>39</v>
      </c>
      <c r="U7" s="337"/>
      <c r="V7" s="334"/>
      <c r="W7" s="334"/>
      <c r="X7" s="335"/>
      <c r="Y7" s="241"/>
      <c r="Z7" s="347"/>
      <c r="AA7" s="347"/>
      <c r="AB7" s="336"/>
      <c r="AC7" s="336"/>
      <c r="AD7" s="337"/>
    </row>
    <row r="8" spans="1:30" x14ac:dyDescent="0.2">
      <c r="B8" s="332" t="s">
        <v>40</v>
      </c>
      <c r="C8" s="332"/>
      <c r="D8" s="332"/>
      <c r="E8" s="332"/>
      <c r="F8" s="332"/>
      <c r="G8" s="332"/>
      <c r="H8" s="332"/>
      <c r="I8" s="332"/>
      <c r="J8" s="332"/>
      <c r="K8" s="332"/>
      <c r="L8" s="332"/>
      <c r="M8" s="332"/>
      <c r="N8" s="332"/>
      <c r="O8" s="332"/>
      <c r="P8" s="332"/>
      <c r="Q8" s="332"/>
      <c r="R8" s="332"/>
      <c r="S8" s="332"/>
      <c r="T8" s="332"/>
      <c r="U8" s="332"/>
      <c r="V8" s="332"/>
      <c r="W8" s="332"/>
      <c r="X8" s="332"/>
      <c r="Y8" s="332"/>
      <c r="Z8" s="332"/>
      <c r="AA8" s="332"/>
      <c r="AB8" s="332"/>
      <c r="AC8" s="332"/>
      <c r="AD8" s="332"/>
    </row>
    <row r="9" spans="1:30" ht="26.25" x14ac:dyDescent="0.25">
      <c r="A9" s="29" t="s">
        <v>41</v>
      </c>
      <c r="B9" s="320" t="s">
        <v>42</v>
      </c>
      <c r="C9" s="321"/>
      <c r="D9" s="321"/>
      <c r="E9" s="321"/>
      <c r="F9" s="321"/>
      <c r="G9" s="321"/>
      <c r="H9" s="321"/>
      <c r="I9" s="321"/>
      <c r="J9" s="321"/>
      <c r="K9" s="321"/>
      <c r="L9" s="321"/>
      <c r="M9" s="321"/>
      <c r="N9" s="321"/>
      <c r="O9" s="321"/>
      <c r="P9" s="321"/>
      <c r="Q9" s="321"/>
      <c r="R9" s="321"/>
      <c r="S9" s="321"/>
      <c r="T9" s="321"/>
      <c r="U9" s="321"/>
      <c r="V9" s="321"/>
      <c r="W9" s="321"/>
      <c r="X9" s="321"/>
      <c r="Y9" s="321"/>
      <c r="Z9" s="321"/>
      <c r="AA9" s="321"/>
      <c r="AB9" s="321"/>
      <c r="AC9" s="321"/>
      <c r="AD9" s="322"/>
    </row>
    <row r="10" spans="1:30" ht="140.25" x14ac:dyDescent="0.2">
      <c r="A10" s="30">
        <v>1</v>
      </c>
      <c r="B10" s="31" t="s">
        <v>43</v>
      </c>
      <c r="C10" s="29" t="s">
        <v>44</v>
      </c>
      <c r="D10" s="28"/>
      <c r="E10" s="32"/>
      <c r="F10" s="230" t="s">
        <v>45</v>
      </c>
      <c r="G10" s="230" t="s">
        <v>45</v>
      </c>
      <c r="H10" s="230" t="s">
        <v>45</v>
      </c>
      <c r="I10" s="32"/>
      <c r="J10" s="230" t="s">
        <v>45</v>
      </c>
      <c r="K10" s="230" t="s">
        <v>45</v>
      </c>
      <c r="L10" s="230" t="s">
        <v>45</v>
      </c>
      <c r="M10" s="32"/>
      <c r="N10" s="230" t="s">
        <v>45</v>
      </c>
      <c r="O10" s="230" t="s">
        <v>45</v>
      </c>
      <c r="P10" s="230" t="s">
        <v>45</v>
      </c>
      <c r="Q10" s="32"/>
      <c r="R10" s="230" t="s">
        <v>45</v>
      </c>
      <c r="S10" s="230" t="s">
        <v>45</v>
      </c>
      <c r="T10" s="230" t="s">
        <v>45</v>
      </c>
      <c r="U10" s="32"/>
      <c r="V10" s="31" t="s">
        <v>46</v>
      </c>
      <c r="W10" s="28"/>
      <c r="X10" s="196">
        <v>8710</v>
      </c>
      <c r="Y10" s="247">
        <f>+X10*$X$2</f>
        <v>4355000</v>
      </c>
      <c r="Z10" s="243">
        <v>2703930</v>
      </c>
      <c r="AA10" s="248">
        <v>3500000</v>
      </c>
      <c r="AC10" s="28"/>
      <c r="AD10" s="34" t="s">
        <v>47</v>
      </c>
    </row>
    <row r="11" spans="1:30" ht="51" x14ac:dyDescent="0.2">
      <c r="A11" s="30">
        <f t="shared" ref="A11:A27" si="0">+A10+1</f>
        <v>2</v>
      </c>
      <c r="B11" s="31" t="s">
        <v>48</v>
      </c>
      <c r="C11" s="29" t="s">
        <v>49</v>
      </c>
      <c r="D11" s="28"/>
      <c r="E11" s="32"/>
      <c r="F11" s="230"/>
      <c r="G11" s="230"/>
      <c r="H11" s="230"/>
      <c r="I11" s="32"/>
      <c r="J11" s="230"/>
      <c r="K11" s="230" t="s">
        <v>45</v>
      </c>
      <c r="L11" s="230"/>
      <c r="M11" s="32"/>
      <c r="N11" s="230"/>
      <c r="O11" s="230"/>
      <c r="P11" s="230"/>
      <c r="Q11" s="32"/>
      <c r="R11" s="230"/>
      <c r="S11" s="230" t="s">
        <v>45</v>
      </c>
      <c r="T11" s="230"/>
      <c r="U11" s="32"/>
      <c r="V11" s="31" t="s">
        <v>50</v>
      </c>
      <c r="W11" s="28"/>
      <c r="X11" s="196">
        <v>1000</v>
      </c>
      <c r="Y11" s="247">
        <f t="shared" ref="Y11:Y27" si="1">+X11*$X$2</f>
        <v>500000</v>
      </c>
      <c r="Z11" s="243"/>
      <c r="AA11" s="249">
        <v>500000</v>
      </c>
      <c r="AB11" s="28"/>
      <c r="AC11" s="28"/>
      <c r="AD11" s="34" t="s">
        <v>47</v>
      </c>
    </row>
    <row r="12" spans="1:30" ht="140.25" x14ac:dyDescent="0.2">
      <c r="A12" s="30">
        <f t="shared" si="0"/>
        <v>3</v>
      </c>
      <c r="B12" s="31" t="s">
        <v>51</v>
      </c>
      <c r="C12" s="29" t="s">
        <v>52</v>
      </c>
      <c r="D12" s="28"/>
      <c r="E12" s="32"/>
      <c r="F12" s="230" t="s">
        <v>45</v>
      </c>
      <c r="G12" s="230" t="s">
        <v>45</v>
      </c>
      <c r="H12" s="230" t="s">
        <v>45</v>
      </c>
      <c r="I12" s="32"/>
      <c r="J12" s="230" t="s">
        <v>45</v>
      </c>
      <c r="K12" s="230" t="s">
        <v>45</v>
      </c>
      <c r="L12" s="230" t="s">
        <v>45</v>
      </c>
      <c r="M12" s="32"/>
      <c r="N12" s="230" t="s">
        <v>45</v>
      </c>
      <c r="O12" s="230" t="s">
        <v>45</v>
      </c>
      <c r="P12" s="230" t="s">
        <v>45</v>
      </c>
      <c r="Q12" s="32"/>
      <c r="R12" s="230" t="s">
        <v>45</v>
      </c>
      <c r="S12" s="230" t="s">
        <v>45</v>
      </c>
      <c r="T12" s="230" t="s">
        <v>45</v>
      </c>
      <c r="U12" s="32"/>
      <c r="V12" s="31" t="s">
        <v>53</v>
      </c>
      <c r="W12" s="28"/>
      <c r="X12" s="196">
        <v>130288</v>
      </c>
      <c r="Y12" s="247">
        <f t="shared" si="1"/>
        <v>65144000</v>
      </c>
      <c r="Z12" s="243">
        <v>38365895</v>
      </c>
      <c r="AA12" s="249">
        <v>65000000</v>
      </c>
      <c r="AB12" s="28"/>
      <c r="AC12" s="28"/>
      <c r="AD12" s="34" t="s">
        <v>47</v>
      </c>
    </row>
    <row r="13" spans="1:30" ht="38.25" x14ac:dyDescent="0.2">
      <c r="A13" s="30">
        <f t="shared" si="0"/>
        <v>4</v>
      </c>
      <c r="B13" s="31" t="s">
        <v>54</v>
      </c>
      <c r="C13" s="29" t="s">
        <v>55</v>
      </c>
      <c r="D13" s="28"/>
      <c r="E13" s="32"/>
      <c r="F13" s="230" t="s">
        <v>45</v>
      </c>
      <c r="G13" s="230" t="s">
        <v>45</v>
      </c>
      <c r="H13" s="230" t="s">
        <v>45</v>
      </c>
      <c r="I13" s="32"/>
      <c r="J13" s="230" t="s">
        <v>45</v>
      </c>
      <c r="K13" s="230" t="s">
        <v>45</v>
      </c>
      <c r="L13" s="230" t="s">
        <v>45</v>
      </c>
      <c r="M13" s="32"/>
      <c r="N13" s="230" t="s">
        <v>45</v>
      </c>
      <c r="O13" s="230" t="s">
        <v>45</v>
      </c>
      <c r="P13" s="230" t="s">
        <v>45</v>
      </c>
      <c r="Q13" s="32"/>
      <c r="R13" s="230" t="s">
        <v>45</v>
      </c>
      <c r="S13" s="230" t="s">
        <v>45</v>
      </c>
      <c r="T13" s="230" t="s">
        <v>45</v>
      </c>
      <c r="U13" s="32"/>
      <c r="V13" s="31" t="s">
        <v>56</v>
      </c>
      <c r="W13" s="28"/>
      <c r="X13" s="196">
        <v>2400</v>
      </c>
      <c r="Y13" s="247">
        <f t="shared" si="1"/>
        <v>1200000</v>
      </c>
      <c r="Z13" s="243">
        <v>2150886</v>
      </c>
      <c r="AA13" s="249">
        <f>250000*12</f>
        <v>3000000</v>
      </c>
      <c r="AB13" s="28"/>
      <c r="AC13" s="28"/>
      <c r="AD13" s="34" t="s">
        <v>47</v>
      </c>
    </row>
    <row r="14" spans="1:30" ht="102" x14ac:dyDescent="0.2">
      <c r="A14" s="30">
        <f t="shared" si="0"/>
        <v>5</v>
      </c>
      <c r="B14" s="31" t="s">
        <v>57</v>
      </c>
      <c r="C14" s="31" t="s">
        <v>58</v>
      </c>
      <c r="D14" s="28"/>
      <c r="E14" s="32"/>
      <c r="F14" s="230" t="s">
        <v>45</v>
      </c>
      <c r="G14" s="230" t="s">
        <v>45</v>
      </c>
      <c r="H14" s="230" t="s">
        <v>45</v>
      </c>
      <c r="I14" s="32"/>
      <c r="J14" s="230" t="s">
        <v>45</v>
      </c>
      <c r="K14" s="230" t="s">
        <v>45</v>
      </c>
      <c r="L14" s="230" t="s">
        <v>45</v>
      </c>
      <c r="M14" s="32"/>
      <c r="N14" s="230" t="s">
        <v>45</v>
      </c>
      <c r="O14" s="230" t="s">
        <v>45</v>
      </c>
      <c r="P14" s="230" t="s">
        <v>45</v>
      </c>
      <c r="Q14" s="32"/>
      <c r="R14" s="230" t="s">
        <v>45</v>
      </c>
      <c r="S14" s="230" t="s">
        <v>45</v>
      </c>
      <c r="T14" s="230" t="s">
        <v>45</v>
      </c>
      <c r="U14" s="32"/>
      <c r="V14" s="31" t="s">
        <v>59</v>
      </c>
      <c r="W14" s="28"/>
      <c r="X14" s="197">
        <v>9000</v>
      </c>
      <c r="Y14" s="247">
        <f t="shared" si="1"/>
        <v>4500000</v>
      </c>
      <c r="Z14" s="243">
        <v>4988622</v>
      </c>
      <c r="AA14" s="249">
        <v>5000000</v>
      </c>
      <c r="AB14" s="28"/>
      <c r="AC14" s="28"/>
      <c r="AD14" s="34" t="s">
        <v>47</v>
      </c>
    </row>
    <row r="15" spans="1:30" ht="102" x14ac:dyDescent="0.2">
      <c r="A15" s="30">
        <f t="shared" si="0"/>
        <v>6</v>
      </c>
      <c r="B15" s="31" t="s">
        <v>60</v>
      </c>
      <c r="C15" s="29" t="s">
        <v>61</v>
      </c>
      <c r="D15" s="28"/>
      <c r="E15" s="32"/>
      <c r="F15" s="230"/>
      <c r="G15" s="230"/>
      <c r="H15" s="230"/>
      <c r="I15" s="32"/>
      <c r="J15" s="230"/>
      <c r="K15" s="230" t="s">
        <v>45</v>
      </c>
      <c r="L15" s="230"/>
      <c r="M15" s="32"/>
      <c r="N15" s="230"/>
      <c r="O15" s="230"/>
      <c r="P15" s="230"/>
      <c r="Q15" s="32"/>
      <c r="R15" s="230"/>
      <c r="S15" s="230"/>
      <c r="T15" s="230"/>
      <c r="U15" s="32"/>
      <c r="V15" s="31" t="s">
        <v>62</v>
      </c>
      <c r="W15" s="28"/>
      <c r="X15" s="196">
        <v>21250</v>
      </c>
      <c r="Y15" s="247">
        <f t="shared" si="1"/>
        <v>10625000</v>
      </c>
      <c r="Z15" s="243">
        <v>5104455</v>
      </c>
      <c r="AA15" s="249">
        <f>17014849*5%+12000000</f>
        <v>12850742.449999999</v>
      </c>
      <c r="AB15" s="28"/>
      <c r="AC15" s="28"/>
      <c r="AD15" s="34" t="s">
        <v>47</v>
      </c>
    </row>
    <row r="16" spans="1:30" ht="63.75" x14ac:dyDescent="0.2">
      <c r="A16" s="30">
        <f t="shared" si="0"/>
        <v>7</v>
      </c>
      <c r="B16" s="31" t="s">
        <v>63</v>
      </c>
      <c r="C16" s="29" t="s">
        <v>64</v>
      </c>
      <c r="D16" s="28"/>
      <c r="E16" s="32"/>
      <c r="F16" s="230"/>
      <c r="G16" s="230" t="s">
        <v>45</v>
      </c>
      <c r="H16" s="230"/>
      <c r="I16" s="32"/>
      <c r="J16" s="230"/>
      <c r="K16" s="230"/>
      <c r="L16" s="230"/>
      <c r="M16" s="32"/>
      <c r="N16" s="230"/>
      <c r="O16" s="230"/>
      <c r="P16" s="230"/>
      <c r="Q16" s="32"/>
      <c r="R16" s="230"/>
      <c r="S16" s="230"/>
      <c r="T16" s="230"/>
      <c r="U16" s="32"/>
      <c r="V16" s="31" t="s">
        <v>65</v>
      </c>
      <c r="W16" s="28"/>
      <c r="X16" s="196">
        <v>12600</v>
      </c>
      <c r="Y16" s="247">
        <f t="shared" si="1"/>
        <v>6300000</v>
      </c>
      <c r="Z16" s="243">
        <v>5300000</v>
      </c>
      <c r="AA16" s="249">
        <v>1500000</v>
      </c>
      <c r="AB16" s="28"/>
      <c r="AC16" s="28"/>
      <c r="AD16" s="34" t="s">
        <v>47</v>
      </c>
    </row>
    <row r="17" spans="1:30" ht="89.25" x14ac:dyDescent="0.2">
      <c r="A17" s="30">
        <f t="shared" si="0"/>
        <v>8</v>
      </c>
      <c r="B17" s="31" t="s">
        <v>66</v>
      </c>
      <c r="C17" s="29" t="s">
        <v>67</v>
      </c>
      <c r="D17" s="28"/>
      <c r="E17" s="32"/>
      <c r="F17" s="230"/>
      <c r="G17" s="230" t="s">
        <v>45</v>
      </c>
      <c r="H17" s="230"/>
      <c r="I17" s="32"/>
      <c r="J17" s="230"/>
      <c r="K17" s="230" t="s">
        <v>45</v>
      </c>
      <c r="L17" s="230"/>
      <c r="M17" s="32"/>
      <c r="N17" s="230"/>
      <c r="O17" s="230" t="s">
        <v>45</v>
      </c>
      <c r="P17" s="230"/>
      <c r="Q17" s="32"/>
      <c r="R17" s="230"/>
      <c r="S17" s="230" t="s">
        <v>45</v>
      </c>
      <c r="T17" s="230"/>
      <c r="U17" s="32"/>
      <c r="V17" s="31" t="s">
        <v>68</v>
      </c>
      <c r="W17" s="28"/>
      <c r="X17" s="196">
        <v>2400</v>
      </c>
      <c r="Y17" s="247">
        <f t="shared" si="1"/>
        <v>1200000</v>
      </c>
      <c r="Z17" s="243">
        <v>256043</v>
      </c>
      <c r="AA17" s="249">
        <v>800000</v>
      </c>
      <c r="AB17" s="28"/>
      <c r="AC17" s="28"/>
      <c r="AD17" s="34" t="s">
        <v>47</v>
      </c>
    </row>
    <row r="18" spans="1:30" ht="153" x14ac:dyDescent="0.2">
      <c r="A18" s="30">
        <f t="shared" si="0"/>
        <v>9</v>
      </c>
      <c r="B18" s="31" t="s">
        <v>69</v>
      </c>
      <c r="C18" s="29" t="s">
        <v>70</v>
      </c>
      <c r="D18" s="28"/>
      <c r="E18" s="32"/>
      <c r="F18" s="230" t="s">
        <v>45</v>
      </c>
      <c r="G18" s="230" t="s">
        <v>45</v>
      </c>
      <c r="H18" s="230" t="s">
        <v>45</v>
      </c>
      <c r="I18" s="32"/>
      <c r="J18" s="230" t="s">
        <v>45</v>
      </c>
      <c r="K18" s="230" t="s">
        <v>45</v>
      </c>
      <c r="L18" s="230" t="s">
        <v>45</v>
      </c>
      <c r="M18" s="32"/>
      <c r="N18" s="230" t="s">
        <v>45</v>
      </c>
      <c r="O18" s="230" t="s">
        <v>45</v>
      </c>
      <c r="P18" s="230" t="s">
        <v>45</v>
      </c>
      <c r="Q18" s="32"/>
      <c r="R18" s="230" t="s">
        <v>45</v>
      </c>
      <c r="S18" s="230" t="s">
        <v>45</v>
      </c>
      <c r="T18" s="230" t="s">
        <v>45</v>
      </c>
      <c r="U18" s="32"/>
      <c r="V18" s="31" t="s">
        <v>71</v>
      </c>
      <c r="W18" s="28"/>
      <c r="X18" s="196">
        <v>37746</v>
      </c>
      <c r="Y18" s="247">
        <f t="shared" si="1"/>
        <v>18873000</v>
      </c>
      <c r="Z18" s="243">
        <v>4462500</v>
      </c>
      <c r="AA18" s="249">
        <v>12000000</v>
      </c>
      <c r="AB18" s="28"/>
      <c r="AC18" s="28"/>
      <c r="AD18" s="34" t="s">
        <v>47</v>
      </c>
    </row>
    <row r="19" spans="1:30" ht="76.5" x14ac:dyDescent="0.2">
      <c r="A19" s="30">
        <f t="shared" si="0"/>
        <v>10</v>
      </c>
      <c r="B19" s="31" t="s">
        <v>72</v>
      </c>
      <c r="C19" s="29" t="s">
        <v>73</v>
      </c>
      <c r="D19" s="28"/>
      <c r="E19" s="32"/>
      <c r="F19" s="230"/>
      <c r="G19" s="230"/>
      <c r="H19" s="230" t="s">
        <v>45</v>
      </c>
      <c r="I19" s="32"/>
      <c r="J19" s="230"/>
      <c r="K19" s="230"/>
      <c r="L19" s="230" t="s">
        <v>45</v>
      </c>
      <c r="M19" s="32"/>
      <c r="N19" s="230"/>
      <c r="O19" s="230"/>
      <c r="P19" s="230"/>
      <c r="Q19" s="32"/>
      <c r="R19" s="230"/>
      <c r="S19" s="230" t="s">
        <v>45</v>
      </c>
      <c r="T19" s="230"/>
      <c r="U19" s="32"/>
      <c r="V19" s="31" t="s">
        <v>74</v>
      </c>
      <c r="W19" s="28"/>
      <c r="X19" s="196">
        <v>2700</v>
      </c>
      <c r="Y19" s="247">
        <f t="shared" si="1"/>
        <v>1350000</v>
      </c>
      <c r="Z19" s="243">
        <v>990000</v>
      </c>
      <c r="AA19" s="249">
        <f>225000*4</f>
        <v>900000</v>
      </c>
      <c r="AB19" s="28"/>
      <c r="AC19" s="28"/>
      <c r="AD19" s="34" t="s">
        <v>47</v>
      </c>
    </row>
    <row r="20" spans="1:30" ht="38.25" x14ac:dyDescent="0.2">
      <c r="A20" s="30">
        <f t="shared" si="0"/>
        <v>11</v>
      </c>
      <c r="B20" s="31" t="s">
        <v>75</v>
      </c>
      <c r="C20" s="29" t="s">
        <v>76</v>
      </c>
      <c r="D20" s="28"/>
      <c r="E20" s="32"/>
      <c r="F20" s="230" t="s">
        <v>45</v>
      </c>
      <c r="G20" s="230" t="s">
        <v>45</v>
      </c>
      <c r="H20" s="230" t="s">
        <v>45</v>
      </c>
      <c r="I20" s="32"/>
      <c r="J20" s="230" t="s">
        <v>45</v>
      </c>
      <c r="K20" s="230" t="s">
        <v>45</v>
      </c>
      <c r="L20" s="230" t="s">
        <v>45</v>
      </c>
      <c r="M20" s="32"/>
      <c r="N20" s="230" t="s">
        <v>45</v>
      </c>
      <c r="O20" s="230" t="s">
        <v>45</v>
      </c>
      <c r="P20" s="230" t="s">
        <v>45</v>
      </c>
      <c r="Q20" s="32"/>
      <c r="R20" s="230" t="s">
        <v>45</v>
      </c>
      <c r="S20" s="230" t="s">
        <v>45</v>
      </c>
      <c r="T20" s="230" t="s">
        <v>45</v>
      </c>
      <c r="U20" s="32"/>
      <c r="V20" s="31" t="s">
        <v>77</v>
      </c>
      <c r="W20" s="28"/>
      <c r="X20" s="196">
        <v>365</v>
      </c>
      <c r="Y20" s="247">
        <f t="shared" si="1"/>
        <v>182500</v>
      </c>
      <c r="Z20" s="243"/>
      <c r="AA20" s="249">
        <v>70000</v>
      </c>
      <c r="AB20" s="28"/>
      <c r="AC20" s="28"/>
      <c r="AD20" s="34" t="s">
        <v>47</v>
      </c>
    </row>
    <row r="21" spans="1:30" ht="76.5" x14ac:dyDescent="0.2">
      <c r="A21" s="30">
        <f t="shared" si="0"/>
        <v>12</v>
      </c>
      <c r="B21" s="31" t="s">
        <v>78</v>
      </c>
      <c r="C21" s="29" t="s">
        <v>79</v>
      </c>
      <c r="D21" s="28"/>
      <c r="E21" s="32"/>
      <c r="F21" s="230" t="s">
        <v>45</v>
      </c>
      <c r="G21" s="230" t="s">
        <v>45</v>
      </c>
      <c r="H21" s="230" t="s">
        <v>45</v>
      </c>
      <c r="I21" s="32"/>
      <c r="J21" s="230" t="s">
        <v>45</v>
      </c>
      <c r="K21" s="230" t="s">
        <v>45</v>
      </c>
      <c r="L21" s="230" t="s">
        <v>45</v>
      </c>
      <c r="M21" s="32"/>
      <c r="N21" s="230" t="s">
        <v>45</v>
      </c>
      <c r="O21" s="230" t="s">
        <v>45</v>
      </c>
      <c r="P21" s="230" t="s">
        <v>45</v>
      </c>
      <c r="Q21" s="32"/>
      <c r="R21" s="230" t="s">
        <v>45</v>
      </c>
      <c r="S21" s="230" t="s">
        <v>45</v>
      </c>
      <c r="T21" s="230" t="s">
        <v>45</v>
      </c>
      <c r="U21" s="32"/>
      <c r="V21" s="31" t="s">
        <v>80</v>
      </c>
      <c r="W21" s="28"/>
      <c r="X21" s="196">
        <v>28978</v>
      </c>
      <c r="Y21" s="247">
        <f t="shared" si="1"/>
        <v>14489000</v>
      </c>
      <c r="Z21" s="243">
        <v>10372233</v>
      </c>
      <c r="AA21" s="249">
        <v>14000000</v>
      </c>
      <c r="AB21" s="28"/>
      <c r="AC21" s="28"/>
      <c r="AD21" s="34" t="s">
        <v>47</v>
      </c>
    </row>
    <row r="22" spans="1:30" ht="63.75" x14ac:dyDescent="0.2">
      <c r="A22" s="30">
        <f t="shared" si="0"/>
        <v>13</v>
      </c>
      <c r="B22" s="31" t="s">
        <v>81</v>
      </c>
      <c r="C22" s="29" t="s">
        <v>82</v>
      </c>
      <c r="D22" s="28"/>
      <c r="E22" s="32"/>
      <c r="F22" s="230" t="s">
        <v>45</v>
      </c>
      <c r="G22" s="230" t="s">
        <v>45</v>
      </c>
      <c r="H22" s="230" t="s">
        <v>45</v>
      </c>
      <c r="I22" s="32"/>
      <c r="J22" s="230" t="s">
        <v>45</v>
      </c>
      <c r="K22" s="230" t="s">
        <v>45</v>
      </c>
      <c r="L22" s="230" t="s">
        <v>45</v>
      </c>
      <c r="M22" s="32"/>
      <c r="N22" s="230" t="s">
        <v>45</v>
      </c>
      <c r="O22" s="230" t="s">
        <v>45</v>
      </c>
      <c r="P22" s="230" t="s">
        <v>45</v>
      </c>
      <c r="Q22" s="32"/>
      <c r="R22" s="230" t="s">
        <v>45</v>
      </c>
      <c r="S22" s="230" t="s">
        <v>45</v>
      </c>
      <c r="T22" s="230" t="s">
        <v>45</v>
      </c>
      <c r="U22" s="32"/>
      <c r="V22" s="31" t="s">
        <v>83</v>
      </c>
      <c r="W22" s="28"/>
      <c r="X22" s="196">
        <v>10272</v>
      </c>
      <c r="Y22" s="247">
        <f t="shared" si="1"/>
        <v>5136000</v>
      </c>
      <c r="Z22" s="243">
        <v>3456000</v>
      </c>
      <c r="AA22" s="249">
        <v>5000000</v>
      </c>
      <c r="AB22" s="28"/>
      <c r="AC22" s="28"/>
      <c r="AD22" s="34" t="s">
        <v>47</v>
      </c>
    </row>
    <row r="23" spans="1:30" ht="63.75" x14ac:dyDescent="0.2">
      <c r="A23" s="30">
        <f t="shared" si="0"/>
        <v>14</v>
      </c>
      <c r="B23" s="31" t="s">
        <v>84</v>
      </c>
      <c r="C23" s="29" t="s">
        <v>85</v>
      </c>
      <c r="D23" s="28"/>
      <c r="E23" s="32"/>
      <c r="F23" s="230" t="s">
        <v>45</v>
      </c>
      <c r="G23" s="230" t="s">
        <v>45</v>
      </c>
      <c r="H23" s="230" t="s">
        <v>45</v>
      </c>
      <c r="I23" s="32"/>
      <c r="J23" s="230" t="s">
        <v>45</v>
      </c>
      <c r="K23" s="230" t="s">
        <v>45</v>
      </c>
      <c r="L23" s="230" t="s">
        <v>45</v>
      </c>
      <c r="M23" s="32"/>
      <c r="N23" s="230" t="s">
        <v>45</v>
      </c>
      <c r="O23" s="230" t="s">
        <v>45</v>
      </c>
      <c r="P23" s="230" t="s">
        <v>45</v>
      </c>
      <c r="Q23" s="32"/>
      <c r="R23" s="230" t="s">
        <v>45</v>
      </c>
      <c r="S23" s="230" t="s">
        <v>45</v>
      </c>
      <c r="T23" s="230" t="s">
        <v>45</v>
      </c>
      <c r="U23" s="32"/>
      <c r="V23" s="31" t="s">
        <v>86</v>
      </c>
      <c r="W23" s="28"/>
      <c r="X23" s="196">
        <v>12656</v>
      </c>
      <c r="Y23" s="247">
        <f t="shared" si="1"/>
        <v>6328000</v>
      </c>
      <c r="Z23" s="243">
        <v>15149975</v>
      </c>
      <c r="AA23" s="249">
        <v>16000000</v>
      </c>
      <c r="AB23" s="28"/>
      <c r="AC23" s="28"/>
      <c r="AD23" s="34" t="s">
        <v>47</v>
      </c>
    </row>
    <row r="24" spans="1:30" ht="51" x14ac:dyDescent="0.2">
      <c r="A24" s="30">
        <f t="shared" si="0"/>
        <v>15</v>
      </c>
      <c r="B24" s="31" t="s">
        <v>87</v>
      </c>
      <c r="C24" s="29" t="s">
        <v>88</v>
      </c>
      <c r="D24" s="28"/>
      <c r="E24" s="32"/>
      <c r="F24" s="230" t="s">
        <v>45</v>
      </c>
      <c r="G24" s="230" t="s">
        <v>45</v>
      </c>
      <c r="H24" s="230" t="s">
        <v>45</v>
      </c>
      <c r="I24" s="32"/>
      <c r="J24" s="230" t="s">
        <v>45</v>
      </c>
      <c r="K24" s="230" t="s">
        <v>45</v>
      </c>
      <c r="L24" s="230" t="s">
        <v>45</v>
      </c>
      <c r="M24" s="32"/>
      <c r="N24" s="230" t="s">
        <v>45</v>
      </c>
      <c r="O24" s="230" t="s">
        <v>45</v>
      </c>
      <c r="P24" s="230" t="s">
        <v>45</v>
      </c>
      <c r="Q24" s="32"/>
      <c r="R24" s="230" t="s">
        <v>45</v>
      </c>
      <c r="S24" s="230" t="s">
        <v>45</v>
      </c>
      <c r="T24" s="230" t="s">
        <v>45</v>
      </c>
      <c r="U24" s="32"/>
      <c r="V24" s="31" t="s">
        <v>89</v>
      </c>
      <c r="W24" s="28"/>
      <c r="X24" s="196">
        <v>5600</v>
      </c>
      <c r="Y24" s="247">
        <f t="shared" si="1"/>
        <v>2800000</v>
      </c>
      <c r="Z24" s="243">
        <v>1814167</v>
      </c>
      <c r="AA24" s="249">
        <v>2800000</v>
      </c>
      <c r="AB24" s="28"/>
      <c r="AC24" s="28"/>
      <c r="AD24" s="34" t="s">
        <v>47</v>
      </c>
    </row>
    <row r="25" spans="1:30" ht="51" x14ac:dyDescent="0.2">
      <c r="A25" s="30">
        <f t="shared" si="0"/>
        <v>16</v>
      </c>
      <c r="B25" s="31" t="s">
        <v>90</v>
      </c>
      <c r="C25" s="29" t="s">
        <v>91</v>
      </c>
      <c r="D25" s="28"/>
      <c r="E25" s="32"/>
      <c r="F25" s="230" t="s">
        <v>45</v>
      </c>
      <c r="G25" s="230" t="s">
        <v>45</v>
      </c>
      <c r="H25" s="230" t="s">
        <v>45</v>
      </c>
      <c r="I25" s="32"/>
      <c r="J25" s="230" t="s">
        <v>45</v>
      </c>
      <c r="K25" s="230" t="s">
        <v>45</v>
      </c>
      <c r="L25" s="230" t="s">
        <v>45</v>
      </c>
      <c r="M25" s="32"/>
      <c r="N25" s="230" t="s">
        <v>45</v>
      </c>
      <c r="O25" s="230" t="s">
        <v>45</v>
      </c>
      <c r="P25" s="230" t="s">
        <v>45</v>
      </c>
      <c r="Q25" s="32"/>
      <c r="R25" s="230" t="s">
        <v>45</v>
      </c>
      <c r="S25" s="230" t="s">
        <v>45</v>
      </c>
      <c r="T25" s="230" t="s">
        <v>45</v>
      </c>
      <c r="U25" s="32"/>
      <c r="V25" s="31" t="s">
        <v>92</v>
      </c>
      <c r="W25" s="28"/>
      <c r="X25" s="196">
        <v>15800</v>
      </c>
      <c r="Y25" s="247">
        <f t="shared" si="1"/>
        <v>7900000</v>
      </c>
      <c r="Z25" s="243">
        <v>5386751</v>
      </c>
      <c r="AA25" s="249">
        <v>7500000</v>
      </c>
      <c r="AB25" s="28"/>
      <c r="AC25" s="28"/>
      <c r="AD25" s="34" t="s">
        <v>47</v>
      </c>
    </row>
    <row r="26" spans="1:30" ht="63.75" x14ac:dyDescent="0.2">
      <c r="A26" s="30">
        <f t="shared" si="0"/>
        <v>17</v>
      </c>
      <c r="B26" s="31" t="s">
        <v>93</v>
      </c>
      <c r="C26" s="29" t="s">
        <v>94</v>
      </c>
      <c r="D26" s="28"/>
      <c r="E26" s="32"/>
      <c r="F26" s="230" t="s">
        <v>45</v>
      </c>
      <c r="G26" s="230"/>
      <c r="H26" s="230"/>
      <c r="I26" s="32"/>
      <c r="J26" s="230"/>
      <c r="K26" s="230"/>
      <c r="L26" s="230"/>
      <c r="M26" s="32"/>
      <c r="N26" s="230"/>
      <c r="O26" s="230"/>
      <c r="P26" s="230"/>
      <c r="Q26" s="32"/>
      <c r="R26" s="230"/>
      <c r="S26" s="230"/>
      <c r="T26" s="230"/>
      <c r="U26" s="32"/>
      <c r="V26" s="31" t="s">
        <v>95</v>
      </c>
      <c r="W26" s="28"/>
      <c r="X26" s="196">
        <v>7000</v>
      </c>
      <c r="Y26" s="247">
        <f t="shared" si="1"/>
        <v>3500000</v>
      </c>
      <c r="Z26" s="243">
        <v>799505</v>
      </c>
      <c r="AA26" s="249">
        <v>3500000</v>
      </c>
      <c r="AB26" s="28"/>
      <c r="AC26" s="28"/>
      <c r="AD26" s="34" t="s">
        <v>47</v>
      </c>
    </row>
    <row r="27" spans="1:30" ht="89.25" x14ac:dyDescent="0.2">
      <c r="A27" s="28">
        <f t="shared" si="0"/>
        <v>18</v>
      </c>
      <c r="B27" s="31" t="s">
        <v>96</v>
      </c>
      <c r="C27" s="29" t="s">
        <v>97</v>
      </c>
      <c r="D27" s="28"/>
      <c r="E27" s="32"/>
      <c r="F27" s="230" t="s">
        <v>45</v>
      </c>
      <c r="G27" s="230" t="s">
        <v>45</v>
      </c>
      <c r="H27" s="230" t="s">
        <v>45</v>
      </c>
      <c r="I27" s="32"/>
      <c r="J27" s="230" t="s">
        <v>45</v>
      </c>
      <c r="K27" s="230" t="s">
        <v>45</v>
      </c>
      <c r="L27" s="230" t="s">
        <v>45</v>
      </c>
      <c r="M27" s="32"/>
      <c r="N27" s="230" t="s">
        <v>45</v>
      </c>
      <c r="O27" s="230" t="s">
        <v>45</v>
      </c>
      <c r="P27" s="230" t="s">
        <v>45</v>
      </c>
      <c r="Q27" s="32"/>
      <c r="R27" s="230" t="s">
        <v>45</v>
      </c>
      <c r="S27" s="230" t="s">
        <v>45</v>
      </c>
      <c r="T27" s="230" t="s">
        <v>45</v>
      </c>
      <c r="U27" s="32"/>
      <c r="V27" s="31" t="s">
        <v>98</v>
      </c>
      <c r="W27" s="28"/>
      <c r="X27" s="196">
        <v>2400</v>
      </c>
      <c r="Y27" s="247">
        <f t="shared" si="1"/>
        <v>1200000</v>
      </c>
      <c r="Z27" s="243">
        <v>1358490</v>
      </c>
      <c r="AA27" s="249">
        <v>1500000</v>
      </c>
      <c r="AB27" s="28"/>
      <c r="AC27" s="28"/>
      <c r="AD27" s="34" t="s">
        <v>47</v>
      </c>
    </row>
    <row r="28" spans="1:30" ht="13.5" x14ac:dyDescent="0.25">
      <c r="A28" s="28"/>
      <c r="B28" s="320" t="s">
        <v>99</v>
      </c>
      <c r="C28" s="321"/>
      <c r="D28" s="321"/>
      <c r="E28" s="321"/>
      <c r="F28" s="321"/>
      <c r="G28" s="321"/>
      <c r="H28" s="321"/>
      <c r="I28" s="321"/>
      <c r="J28" s="321"/>
      <c r="K28" s="321"/>
      <c r="L28" s="321"/>
      <c r="M28" s="321"/>
      <c r="N28" s="321"/>
      <c r="O28" s="321"/>
      <c r="P28" s="321"/>
      <c r="Q28" s="321"/>
      <c r="R28" s="321"/>
      <c r="S28" s="321"/>
      <c r="T28" s="321"/>
      <c r="U28" s="321"/>
      <c r="V28" s="321"/>
      <c r="W28" s="321"/>
      <c r="X28" s="321"/>
      <c r="Y28" s="321"/>
      <c r="Z28" s="321"/>
      <c r="AA28" s="321"/>
      <c r="AB28" s="321"/>
      <c r="AC28" s="321"/>
      <c r="AD28" s="322"/>
    </row>
    <row r="29" spans="1:30" ht="76.5" x14ac:dyDescent="0.2">
      <c r="A29" s="30">
        <f>+A28+1</f>
        <v>1</v>
      </c>
      <c r="B29" s="31" t="s">
        <v>100</v>
      </c>
      <c r="C29" s="31" t="s">
        <v>101</v>
      </c>
      <c r="D29" s="28"/>
      <c r="E29" s="32"/>
      <c r="F29" s="230"/>
      <c r="G29" s="230" t="s">
        <v>45</v>
      </c>
      <c r="H29" s="230"/>
      <c r="I29" s="32"/>
      <c r="J29" s="230"/>
      <c r="K29" s="230" t="s">
        <v>45</v>
      </c>
      <c r="L29" s="230"/>
      <c r="M29" s="32"/>
      <c r="N29" s="230"/>
      <c r="O29" s="230" t="s">
        <v>45</v>
      </c>
      <c r="P29" s="230"/>
      <c r="Q29" s="32"/>
      <c r="R29" s="230"/>
      <c r="S29" s="230" t="s">
        <v>45</v>
      </c>
      <c r="T29" s="230"/>
      <c r="U29" s="32"/>
      <c r="V29" s="29" t="s">
        <v>102</v>
      </c>
      <c r="W29" s="28"/>
      <c r="X29" s="33">
        <v>8422</v>
      </c>
      <c r="Y29" s="239">
        <f>+X29*$X$2</f>
        <v>4211000</v>
      </c>
      <c r="Z29" s="243">
        <v>300000</v>
      </c>
      <c r="AA29" s="238">
        <v>4200000</v>
      </c>
      <c r="AB29" s="28"/>
      <c r="AC29" s="28"/>
      <c r="AD29" s="29" t="s">
        <v>103</v>
      </c>
    </row>
    <row r="30" spans="1:30" ht="89.25" x14ac:dyDescent="0.2">
      <c r="A30" s="30">
        <f>+A29+1</f>
        <v>2</v>
      </c>
      <c r="B30" s="31" t="s">
        <v>104</v>
      </c>
      <c r="C30" s="29" t="s">
        <v>105</v>
      </c>
      <c r="D30" s="28"/>
      <c r="E30" s="32"/>
      <c r="F30" s="230" t="s">
        <v>45</v>
      </c>
      <c r="G30" s="230" t="s">
        <v>45</v>
      </c>
      <c r="H30" s="230" t="s">
        <v>45</v>
      </c>
      <c r="I30" s="32"/>
      <c r="J30" s="230"/>
      <c r="K30" s="230"/>
      <c r="L30" s="230"/>
      <c r="M30" s="32"/>
      <c r="N30" s="230"/>
      <c r="O30" s="230"/>
      <c r="P30" s="230"/>
      <c r="Q30" s="32"/>
      <c r="R30" s="230"/>
      <c r="S30" s="230"/>
      <c r="T30" s="230"/>
      <c r="U30" s="32"/>
      <c r="V30" s="31" t="s">
        <v>106</v>
      </c>
      <c r="W30" s="28"/>
      <c r="X30" s="33">
        <v>2595</v>
      </c>
      <c r="Y30" s="239">
        <f>+X30*$X$2</f>
        <v>1297500</v>
      </c>
      <c r="Z30" s="243">
        <v>1607845</v>
      </c>
      <c r="AA30" s="238">
        <v>0</v>
      </c>
      <c r="AB30" s="28"/>
      <c r="AC30" s="28"/>
      <c r="AD30" s="29" t="s">
        <v>103</v>
      </c>
    </row>
    <row r="31" spans="1:30" ht="13.5" x14ac:dyDescent="0.25">
      <c r="A31" s="28"/>
      <c r="B31" s="320" t="s">
        <v>107</v>
      </c>
      <c r="C31" s="321"/>
      <c r="D31" s="321"/>
      <c r="E31" s="321"/>
      <c r="F31" s="321"/>
      <c r="G31" s="321"/>
      <c r="H31" s="321"/>
      <c r="I31" s="321"/>
      <c r="J31" s="321"/>
      <c r="K31" s="321"/>
      <c r="L31" s="321"/>
      <c r="M31" s="321"/>
      <c r="N31" s="321"/>
      <c r="O31" s="321"/>
      <c r="P31" s="321"/>
      <c r="Q31" s="321"/>
      <c r="R31" s="321"/>
      <c r="S31" s="321"/>
      <c r="T31" s="321"/>
      <c r="U31" s="321"/>
      <c r="V31" s="321"/>
      <c r="W31" s="321"/>
      <c r="X31" s="321"/>
      <c r="Y31" s="321"/>
      <c r="Z31" s="321"/>
      <c r="AA31" s="321"/>
      <c r="AB31" s="321"/>
      <c r="AC31" s="321"/>
      <c r="AD31" s="322"/>
    </row>
    <row r="32" spans="1:30" ht="38.25" x14ac:dyDescent="0.2">
      <c r="A32" s="30">
        <f>+A31+1</f>
        <v>1</v>
      </c>
      <c r="B32" s="31" t="s">
        <v>108</v>
      </c>
      <c r="C32" s="31" t="s">
        <v>109</v>
      </c>
      <c r="D32" s="28"/>
      <c r="E32" s="32"/>
      <c r="F32" s="230"/>
      <c r="G32" s="230"/>
      <c r="H32" s="230"/>
      <c r="I32" s="32"/>
      <c r="J32" s="230"/>
      <c r="K32" s="230"/>
      <c r="L32" s="230" t="s">
        <v>45</v>
      </c>
      <c r="M32" s="32"/>
      <c r="N32" s="230"/>
      <c r="O32" s="230"/>
      <c r="P32" s="230"/>
      <c r="Q32" s="32"/>
      <c r="R32" s="230"/>
      <c r="S32" s="230"/>
      <c r="T32" s="230"/>
      <c r="U32" s="32"/>
      <c r="V32" s="31" t="s">
        <v>110</v>
      </c>
      <c r="W32" s="28"/>
      <c r="X32" s="36">
        <v>500</v>
      </c>
      <c r="Y32" s="250">
        <f>+X32*$X$2</f>
        <v>250000</v>
      </c>
      <c r="Z32" s="243"/>
      <c r="AA32" s="238">
        <v>250000</v>
      </c>
      <c r="AB32" s="28"/>
      <c r="AC32" s="28"/>
      <c r="AD32" s="29" t="s">
        <v>111</v>
      </c>
    </row>
    <row r="33" spans="1:30" ht="51" x14ac:dyDescent="0.2">
      <c r="A33" s="258">
        <f>+A32+1</f>
        <v>2</v>
      </c>
      <c r="B33" s="259" t="s">
        <v>112</v>
      </c>
      <c r="C33" s="259" t="s">
        <v>113</v>
      </c>
      <c r="D33" s="260"/>
      <c r="E33" s="260"/>
      <c r="F33" s="261" t="s">
        <v>45</v>
      </c>
      <c r="G33" s="261" t="s">
        <v>45</v>
      </c>
      <c r="H33" s="261" t="s">
        <v>45</v>
      </c>
      <c r="I33" s="260"/>
      <c r="J33" s="261" t="s">
        <v>45</v>
      </c>
      <c r="K33" s="261" t="s">
        <v>45</v>
      </c>
      <c r="L33" s="261" t="s">
        <v>45</v>
      </c>
      <c r="M33" s="260"/>
      <c r="N33" s="261" t="s">
        <v>45</v>
      </c>
      <c r="O33" s="261" t="s">
        <v>45</v>
      </c>
      <c r="P33" s="261" t="s">
        <v>45</v>
      </c>
      <c r="Q33" s="260"/>
      <c r="R33" s="261" t="s">
        <v>45</v>
      </c>
      <c r="S33" s="261" t="s">
        <v>45</v>
      </c>
      <c r="T33" s="261" t="s">
        <v>45</v>
      </c>
      <c r="U33" s="260"/>
      <c r="V33" s="259" t="s">
        <v>114</v>
      </c>
      <c r="W33" s="260"/>
      <c r="X33" s="262">
        <v>20000</v>
      </c>
      <c r="Y33" s="263">
        <f>+X33*$X$2</f>
        <v>10000000</v>
      </c>
      <c r="Z33" s="264">
        <v>17074182</v>
      </c>
      <c r="AA33" s="238"/>
      <c r="AB33" s="28"/>
      <c r="AC33" s="28"/>
      <c r="AD33" s="29" t="s">
        <v>111</v>
      </c>
    </row>
    <row r="34" spans="1:30" ht="13.5" x14ac:dyDescent="0.25">
      <c r="A34" s="28"/>
      <c r="B34" s="320" t="s">
        <v>115</v>
      </c>
      <c r="C34" s="321"/>
      <c r="D34" s="321"/>
      <c r="E34" s="321"/>
      <c r="F34" s="321"/>
      <c r="G34" s="321"/>
      <c r="H34" s="321"/>
      <c r="I34" s="321"/>
      <c r="J34" s="321"/>
      <c r="K34" s="321"/>
      <c r="L34" s="321"/>
      <c r="M34" s="321"/>
      <c r="N34" s="321"/>
      <c r="O34" s="321"/>
      <c r="P34" s="321"/>
      <c r="Q34" s="321"/>
      <c r="R34" s="321"/>
      <c r="S34" s="321"/>
      <c r="T34" s="321"/>
      <c r="U34" s="321"/>
      <c r="V34" s="321"/>
      <c r="W34" s="321"/>
      <c r="X34" s="321"/>
      <c r="Y34" s="321"/>
      <c r="Z34" s="321"/>
      <c r="AA34" s="321"/>
      <c r="AB34" s="321"/>
      <c r="AC34" s="321"/>
      <c r="AD34" s="322"/>
    </row>
    <row r="35" spans="1:30" ht="36.75" customHeight="1" x14ac:dyDescent="0.2">
      <c r="A35" s="30">
        <f>+A34+1</f>
        <v>1</v>
      </c>
      <c r="B35" s="31" t="s">
        <v>116</v>
      </c>
      <c r="C35" s="31" t="s">
        <v>117</v>
      </c>
      <c r="D35" s="29" t="s">
        <v>118</v>
      </c>
      <c r="E35" s="32"/>
      <c r="F35" s="230" t="s">
        <v>45</v>
      </c>
      <c r="G35" s="230" t="s">
        <v>45</v>
      </c>
      <c r="H35" s="230" t="s">
        <v>45</v>
      </c>
      <c r="I35" s="32"/>
      <c r="J35" s="230" t="s">
        <v>45</v>
      </c>
      <c r="K35" s="230" t="s">
        <v>45</v>
      </c>
      <c r="L35" s="230" t="s">
        <v>45</v>
      </c>
      <c r="M35" s="32"/>
      <c r="N35" s="230" t="s">
        <v>45</v>
      </c>
      <c r="O35" s="230" t="s">
        <v>45</v>
      </c>
      <c r="P35" s="230" t="s">
        <v>45</v>
      </c>
      <c r="Q35" s="32"/>
      <c r="R35" s="230" t="s">
        <v>45</v>
      </c>
      <c r="S35" s="230" t="s">
        <v>45</v>
      </c>
      <c r="T35" s="230" t="s">
        <v>45</v>
      </c>
      <c r="U35" s="32"/>
      <c r="V35" s="29" t="s">
        <v>119</v>
      </c>
      <c r="W35" s="28"/>
      <c r="X35" s="33">
        <v>1750</v>
      </c>
      <c r="Y35" s="239">
        <f>+X35*$X$2</f>
        <v>875000</v>
      </c>
      <c r="Z35" s="33"/>
      <c r="AA35" s="239">
        <v>500000</v>
      </c>
      <c r="AB35" s="28"/>
      <c r="AC35" s="28"/>
      <c r="AD35" s="29" t="s">
        <v>120</v>
      </c>
    </row>
    <row r="36" spans="1:30" x14ac:dyDescent="0.2">
      <c r="A36" s="28"/>
      <c r="B36" s="323" t="s">
        <v>121</v>
      </c>
      <c r="C36" s="324"/>
      <c r="D36" s="324"/>
      <c r="E36" s="324"/>
      <c r="F36" s="324"/>
      <c r="G36" s="324"/>
      <c r="H36" s="324"/>
      <c r="I36" s="324"/>
      <c r="J36" s="324"/>
      <c r="K36" s="324"/>
      <c r="L36" s="324"/>
      <c r="M36" s="324"/>
      <c r="N36" s="324"/>
      <c r="O36" s="324"/>
      <c r="P36" s="324"/>
      <c r="Q36" s="324"/>
      <c r="R36" s="324"/>
      <c r="S36" s="324"/>
      <c r="T36" s="324"/>
      <c r="U36" s="324"/>
      <c r="V36" s="324"/>
      <c r="W36" s="324"/>
      <c r="X36" s="324"/>
      <c r="Y36" s="324"/>
      <c r="Z36" s="324"/>
      <c r="AA36" s="324"/>
      <c r="AB36" s="324"/>
      <c r="AC36" s="324"/>
      <c r="AD36" s="325"/>
    </row>
    <row r="37" spans="1:30" ht="13.5" x14ac:dyDescent="0.25">
      <c r="A37" s="28"/>
      <c r="B37" s="320" t="s">
        <v>122</v>
      </c>
      <c r="C37" s="321"/>
      <c r="D37" s="321"/>
      <c r="E37" s="321"/>
      <c r="F37" s="321"/>
      <c r="G37" s="321"/>
      <c r="H37" s="321"/>
      <c r="I37" s="321"/>
      <c r="J37" s="321"/>
      <c r="K37" s="321"/>
      <c r="L37" s="321"/>
      <c r="M37" s="321"/>
      <c r="N37" s="321"/>
      <c r="O37" s="321"/>
      <c r="P37" s="321"/>
      <c r="Q37" s="321"/>
      <c r="R37" s="321"/>
      <c r="S37" s="321"/>
      <c r="T37" s="321"/>
      <c r="U37" s="321"/>
      <c r="V37" s="321"/>
      <c r="W37" s="321"/>
      <c r="X37" s="321"/>
      <c r="Y37" s="321"/>
      <c r="Z37" s="321"/>
      <c r="AA37" s="321"/>
      <c r="AB37" s="321"/>
      <c r="AC37" s="321"/>
      <c r="AD37" s="322"/>
    </row>
    <row r="38" spans="1:30" ht="76.5" x14ac:dyDescent="0.2">
      <c r="A38" s="30">
        <f>+A37+1</f>
        <v>1</v>
      </c>
      <c r="B38" s="31" t="s">
        <v>123</v>
      </c>
      <c r="C38" s="29" t="s">
        <v>124</v>
      </c>
      <c r="D38" s="31" t="s">
        <v>125</v>
      </c>
      <c r="E38" s="32"/>
      <c r="F38" s="230" t="s">
        <v>45</v>
      </c>
      <c r="G38" s="230" t="s">
        <v>45</v>
      </c>
      <c r="H38" s="230" t="s">
        <v>45</v>
      </c>
      <c r="I38" s="32"/>
      <c r="J38" s="230"/>
      <c r="K38" s="230"/>
      <c r="L38" s="230"/>
      <c r="M38" s="32"/>
      <c r="N38" s="230"/>
      <c r="O38" s="230"/>
      <c r="P38" s="230"/>
      <c r="Q38" s="32"/>
      <c r="R38" s="230"/>
      <c r="S38" s="230"/>
      <c r="T38" s="230"/>
      <c r="U38" s="32"/>
      <c r="V38" s="31" t="s">
        <v>126</v>
      </c>
      <c r="W38" s="28"/>
      <c r="X38" s="37">
        <v>2500</v>
      </c>
      <c r="Y38" s="70">
        <f>+X38*$X$2</f>
        <v>1250000</v>
      </c>
      <c r="Z38" s="243"/>
      <c r="AA38" s="238">
        <v>0</v>
      </c>
      <c r="AB38" s="28"/>
      <c r="AC38" s="28"/>
      <c r="AD38" s="29" t="s">
        <v>127</v>
      </c>
    </row>
    <row r="39" spans="1:30" ht="191.25" x14ac:dyDescent="0.2">
      <c r="A39" s="30">
        <f>+A38+1</f>
        <v>2</v>
      </c>
      <c r="B39" s="31" t="s">
        <v>128</v>
      </c>
      <c r="C39" s="29" t="s">
        <v>129</v>
      </c>
      <c r="D39" s="31" t="s">
        <v>125</v>
      </c>
      <c r="E39" s="32"/>
      <c r="F39" s="230" t="s">
        <v>45</v>
      </c>
      <c r="G39" s="230" t="s">
        <v>45</v>
      </c>
      <c r="H39" s="230" t="s">
        <v>45</v>
      </c>
      <c r="I39" s="32"/>
      <c r="J39" s="230"/>
      <c r="K39" s="230"/>
      <c r="L39" s="230"/>
      <c r="M39" s="32"/>
      <c r="N39" s="230"/>
      <c r="O39" s="230"/>
      <c r="P39" s="230"/>
      <c r="Q39" s="32"/>
      <c r="R39" s="230"/>
      <c r="S39" s="230"/>
      <c r="T39" s="230"/>
      <c r="U39" s="32"/>
      <c r="V39" s="31" t="s">
        <v>126</v>
      </c>
      <c r="W39" s="28"/>
      <c r="X39" s="37">
        <v>2500</v>
      </c>
      <c r="Y39" s="70">
        <f t="shared" ref="Y39:Y41" si="2">+X39*$X$2</f>
        <v>1250000</v>
      </c>
      <c r="Z39" s="243"/>
      <c r="AA39" s="238">
        <v>0</v>
      </c>
      <c r="AB39" s="28"/>
      <c r="AC39" s="28"/>
      <c r="AD39" s="29" t="s">
        <v>127</v>
      </c>
    </row>
    <row r="40" spans="1:30" ht="45" customHeight="1" x14ac:dyDescent="0.2">
      <c r="A40" s="30">
        <f>+A39+1</f>
        <v>3</v>
      </c>
      <c r="B40" s="31" t="s">
        <v>130</v>
      </c>
      <c r="C40" s="29" t="s">
        <v>131</v>
      </c>
      <c r="D40" s="31" t="s">
        <v>125</v>
      </c>
      <c r="E40" s="32"/>
      <c r="F40" s="230" t="s">
        <v>45</v>
      </c>
      <c r="G40" s="230" t="s">
        <v>45</v>
      </c>
      <c r="H40" s="230" t="s">
        <v>45</v>
      </c>
      <c r="I40" s="32"/>
      <c r="J40" s="230"/>
      <c r="K40" s="230"/>
      <c r="L40" s="230"/>
      <c r="M40" s="32"/>
      <c r="N40" s="230"/>
      <c r="O40" s="230"/>
      <c r="P40" s="230"/>
      <c r="Q40" s="32"/>
      <c r="R40" s="230"/>
      <c r="S40" s="230"/>
      <c r="T40" s="230"/>
      <c r="U40" s="32"/>
      <c r="V40" s="31" t="s">
        <v>126</v>
      </c>
      <c r="W40" s="28"/>
      <c r="X40" s="37">
        <v>7500</v>
      </c>
      <c r="Y40" s="70">
        <f t="shared" si="2"/>
        <v>3750000</v>
      </c>
      <c r="Z40" s="243"/>
      <c r="AA40" s="238">
        <v>0</v>
      </c>
      <c r="AB40" s="28"/>
      <c r="AC40" s="28"/>
      <c r="AD40" s="29" t="s">
        <v>127</v>
      </c>
    </row>
    <row r="41" spans="1:30" ht="114.75" x14ac:dyDescent="0.2">
      <c r="A41" s="30">
        <f>+A40+1</f>
        <v>4</v>
      </c>
      <c r="B41" s="31" t="s">
        <v>132</v>
      </c>
      <c r="C41" s="29" t="s">
        <v>133</v>
      </c>
      <c r="D41" s="31" t="s">
        <v>125</v>
      </c>
      <c r="E41" s="32"/>
      <c r="F41" s="230" t="s">
        <v>45</v>
      </c>
      <c r="G41" s="230" t="s">
        <v>45</v>
      </c>
      <c r="H41" s="230" t="s">
        <v>45</v>
      </c>
      <c r="I41" s="32"/>
      <c r="J41" s="230"/>
      <c r="K41" s="230"/>
      <c r="L41" s="230"/>
      <c r="M41" s="32"/>
      <c r="N41" s="230"/>
      <c r="O41" s="230"/>
      <c r="P41" s="230"/>
      <c r="Q41" s="32"/>
      <c r="R41" s="230"/>
      <c r="S41" s="230"/>
      <c r="T41" s="230"/>
      <c r="U41" s="32"/>
      <c r="V41" s="31" t="s">
        <v>134</v>
      </c>
      <c r="W41" s="28"/>
      <c r="X41" s="33">
        <v>5500</v>
      </c>
      <c r="Y41" s="70">
        <f t="shared" si="2"/>
        <v>2750000</v>
      </c>
      <c r="Z41" s="243">
        <v>307500</v>
      </c>
      <c r="AA41" s="238">
        <v>0</v>
      </c>
      <c r="AB41" s="28"/>
      <c r="AC41" s="28"/>
      <c r="AD41" s="29" t="s">
        <v>127</v>
      </c>
    </row>
    <row r="42" spans="1:30" ht="13.5" x14ac:dyDescent="0.25">
      <c r="A42" s="28"/>
      <c r="B42" s="320" t="s">
        <v>135</v>
      </c>
      <c r="C42" s="321"/>
      <c r="D42" s="321"/>
      <c r="E42" s="321"/>
      <c r="F42" s="321"/>
      <c r="G42" s="321"/>
      <c r="H42" s="321"/>
      <c r="I42" s="321"/>
      <c r="J42" s="321"/>
      <c r="K42" s="321"/>
      <c r="L42" s="321"/>
      <c r="M42" s="321"/>
      <c r="N42" s="321"/>
      <c r="O42" s="321"/>
      <c r="P42" s="321"/>
      <c r="Q42" s="321"/>
      <c r="R42" s="321"/>
      <c r="S42" s="321"/>
      <c r="T42" s="321"/>
      <c r="U42" s="321"/>
      <c r="V42" s="321"/>
      <c r="W42" s="321"/>
      <c r="X42" s="321"/>
      <c r="Y42" s="321"/>
      <c r="Z42" s="321"/>
      <c r="AA42" s="321"/>
      <c r="AB42" s="321"/>
      <c r="AC42" s="321"/>
      <c r="AD42" s="322"/>
    </row>
    <row r="43" spans="1:30" ht="89.25" x14ac:dyDescent="0.2">
      <c r="A43" s="38">
        <f>+A42+1</f>
        <v>1</v>
      </c>
      <c r="B43" s="39" t="s">
        <v>136</v>
      </c>
      <c r="C43" s="34" t="s">
        <v>137</v>
      </c>
      <c r="D43" s="29" t="s">
        <v>138</v>
      </c>
      <c r="E43" s="32"/>
      <c r="F43" s="230" t="s">
        <v>45</v>
      </c>
      <c r="G43" s="230" t="s">
        <v>45</v>
      </c>
      <c r="H43" s="230" t="s">
        <v>45</v>
      </c>
      <c r="I43" s="32"/>
      <c r="J43" s="230" t="s">
        <v>45</v>
      </c>
      <c r="K43" s="230" t="s">
        <v>45</v>
      </c>
      <c r="L43" s="230" t="s">
        <v>45</v>
      </c>
      <c r="M43" s="32"/>
      <c r="N43" s="230" t="s">
        <v>45</v>
      </c>
      <c r="O43" s="230" t="s">
        <v>45</v>
      </c>
      <c r="P43" s="230" t="s">
        <v>45</v>
      </c>
      <c r="Q43" s="32"/>
      <c r="R43" s="230" t="s">
        <v>45</v>
      </c>
      <c r="S43" s="230" t="s">
        <v>45</v>
      </c>
      <c r="T43" s="230" t="s">
        <v>45</v>
      </c>
      <c r="U43" s="32"/>
      <c r="V43" s="39" t="s">
        <v>139</v>
      </c>
      <c r="W43" s="28"/>
      <c r="X43" s="37">
        <v>13320</v>
      </c>
      <c r="Y43" s="70">
        <f>+X43*$X$2</f>
        <v>6660000</v>
      </c>
      <c r="Z43" s="243">
        <v>10687176</v>
      </c>
      <c r="AA43" s="238">
        <v>11000000</v>
      </c>
      <c r="AB43" s="28"/>
      <c r="AC43" s="28"/>
      <c r="AD43" s="29" t="s">
        <v>127</v>
      </c>
    </row>
    <row r="44" spans="1:30" ht="114.75" x14ac:dyDescent="0.2">
      <c r="A44" s="38">
        <f>+A43+1</f>
        <v>2</v>
      </c>
      <c r="B44" s="39" t="s">
        <v>140</v>
      </c>
      <c r="C44" s="71" t="s">
        <v>141</v>
      </c>
      <c r="D44" s="28"/>
      <c r="E44" s="32"/>
      <c r="F44" s="230" t="s">
        <v>45</v>
      </c>
      <c r="G44" s="230" t="s">
        <v>45</v>
      </c>
      <c r="H44" s="230" t="s">
        <v>45</v>
      </c>
      <c r="I44" s="32"/>
      <c r="J44" s="230" t="s">
        <v>45</v>
      </c>
      <c r="K44" s="230" t="s">
        <v>45</v>
      </c>
      <c r="L44" s="230" t="s">
        <v>45</v>
      </c>
      <c r="M44" s="32"/>
      <c r="N44" s="230" t="s">
        <v>45</v>
      </c>
      <c r="O44" s="230" t="s">
        <v>45</v>
      </c>
      <c r="P44" s="230" t="s">
        <v>45</v>
      </c>
      <c r="Q44" s="32"/>
      <c r="R44" s="230" t="s">
        <v>45</v>
      </c>
      <c r="S44" s="230" t="s">
        <v>45</v>
      </c>
      <c r="T44" s="230" t="s">
        <v>45</v>
      </c>
      <c r="U44" s="32"/>
      <c r="V44" s="72" t="s">
        <v>142</v>
      </c>
      <c r="W44" s="28"/>
      <c r="X44" s="37">
        <v>79310</v>
      </c>
      <c r="Y44" s="70">
        <f t="shared" ref="Y44:Y48" si="3">+X44*$X$2</f>
        <v>39655000</v>
      </c>
      <c r="Z44" s="243">
        <v>32441000</v>
      </c>
      <c r="AA44" s="238">
        <v>35000000</v>
      </c>
      <c r="AB44" s="28"/>
      <c r="AC44" s="28"/>
      <c r="AD44" s="29" t="s">
        <v>143</v>
      </c>
    </row>
    <row r="45" spans="1:30" ht="114.75" x14ac:dyDescent="0.2">
      <c r="A45" s="38">
        <f>+A44+1</f>
        <v>3</v>
      </c>
      <c r="B45" s="39" t="s">
        <v>144</v>
      </c>
      <c r="C45" s="71" t="s">
        <v>145</v>
      </c>
      <c r="D45" s="28"/>
      <c r="E45" s="32"/>
      <c r="F45" s="230" t="s">
        <v>45</v>
      </c>
      <c r="G45" s="230" t="s">
        <v>45</v>
      </c>
      <c r="H45" s="230" t="s">
        <v>45</v>
      </c>
      <c r="I45" s="32"/>
      <c r="J45" s="230" t="s">
        <v>45</v>
      </c>
      <c r="K45" s="230" t="s">
        <v>45</v>
      </c>
      <c r="L45" s="230" t="s">
        <v>45</v>
      </c>
      <c r="M45" s="32"/>
      <c r="N45" s="230" t="s">
        <v>45</v>
      </c>
      <c r="O45" s="230" t="s">
        <v>45</v>
      </c>
      <c r="P45" s="230" t="s">
        <v>45</v>
      </c>
      <c r="Q45" s="32"/>
      <c r="R45" s="230" t="s">
        <v>45</v>
      </c>
      <c r="S45" s="230" t="s">
        <v>45</v>
      </c>
      <c r="T45" s="230" t="s">
        <v>45</v>
      </c>
      <c r="U45" s="32"/>
      <c r="V45" s="72" t="s">
        <v>146</v>
      </c>
      <c r="W45" s="28"/>
      <c r="X45" s="33">
        <v>74510</v>
      </c>
      <c r="Y45" s="70">
        <f t="shared" si="3"/>
        <v>37255000</v>
      </c>
      <c r="Z45" s="243">
        <v>36741000</v>
      </c>
      <c r="AA45" s="238">
        <v>40000000</v>
      </c>
      <c r="AB45" s="28"/>
      <c r="AC45" s="28"/>
      <c r="AD45" s="29" t="s">
        <v>143</v>
      </c>
    </row>
    <row r="46" spans="1:30" ht="114.75" x14ac:dyDescent="0.2">
      <c r="A46" s="38">
        <f>+A45+1</f>
        <v>4</v>
      </c>
      <c r="B46" s="39" t="s">
        <v>515</v>
      </c>
      <c r="C46" s="71" t="s">
        <v>514</v>
      </c>
      <c r="D46" s="28"/>
      <c r="E46" s="32"/>
      <c r="F46" s="230"/>
      <c r="G46" s="230"/>
      <c r="H46" s="230" t="s">
        <v>45</v>
      </c>
      <c r="I46" s="32"/>
      <c r="J46" s="230" t="s">
        <v>45</v>
      </c>
      <c r="K46" s="230" t="s">
        <v>45</v>
      </c>
      <c r="L46" s="230" t="s">
        <v>45</v>
      </c>
      <c r="M46" s="32"/>
      <c r="N46" s="230" t="s">
        <v>45</v>
      </c>
      <c r="O46" s="230" t="s">
        <v>45</v>
      </c>
      <c r="P46" s="230" t="s">
        <v>45</v>
      </c>
      <c r="Q46" s="32"/>
      <c r="R46" s="230" t="s">
        <v>45</v>
      </c>
      <c r="S46" s="230" t="s">
        <v>45</v>
      </c>
      <c r="T46" s="230" t="s">
        <v>45</v>
      </c>
      <c r="U46" s="32"/>
      <c r="V46" s="72" t="s">
        <v>516</v>
      </c>
      <c r="W46" s="28"/>
      <c r="X46" s="33">
        <v>35000</v>
      </c>
      <c r="Y46" s="70">
        <f t="shared" si="3"/>
        <v>17500000</v>
      </c>
      <c r="Z46" s="243">
        <v>546200</v>
      </c>
      <c r="AA46" s="238">
        <v>17500000</v>
      </c>
      <c r="AB46" s="28"/>
      <c r="AC46" s="28"/>
      <c r="AD46" s="29" t="s">
        <v>517</v>
      </c>
    </row>
    <row r="47" spans="1:30" ht="13.5" x14ac:dyDescent="0.25">
      <c r="A47" s="28"/>
      <c r="B47" s="320" t="s">
        <v>147</v>
      </c>
      <c r="C47" s="321"/>
      <c r="D47" s="321"/>
      <c r="E47" s="321"/>
      <c r="F47" s="321"/>
      <c r="G47" s="321"/>
      <c r="H47" s="321"/>
      <c r="I47" s="321"/>
      <c r="J47" s="321"/>
      <c r="K47" s="321"/>
      <c r="L47" s="321"/>
      <c r="M47" s="321"/>
      <c r="N47" s="321"/>
      <c r="O47" s="321"/>
      <c r="P47" s="321"/>
      <c r="Q47" s="321"/>
      <c r="R47" s="321"/>
      <c r="S47" s="321"/>
      <c r="T47" s="321"/>
      <c r="U47" s="321"/>
      <c r="V47" s="321"/>
      <c r="W47" s="321"/>
      <c r="X47" s="321"/>
      <c r="Y47" s="321"/>
      <c r="Z47" s="321"/>
      <c r="AA47" s="321"/>
      <c r="AB47" s="321"/>
      <c r="AC47" s="321"/>
      <c r="AD47" s="322"/>
    </row>
    <row r="48" spans="1:30" ht="141.75" customHeight="1" x14ac:dyDescent="0.2">
      <c r="A48" s="40">
        <f>+A47+1</f>
        <v>1</v>
      </c>
      <c r="B48" s="31" t="s">
        <v>148</v>
      </c>
      <c r="C48" s="41" t="s">
        <v>149</v>
      </c>
      <c r="D48" s="41" t="s">
        <v>150</v>
      </c>
      <c r="E48" s="32"/>
      <c r="F48" s="230" t="s">
        <v>45</v>
      </c>
      <c r="G48" s="230" t="s">
        <v>45</v>
      </c>
      <c r="H48" s="230" t="s">
        <v>45</v>
      </c>
      <c r="I48" s="32"/>
      <c r="J48" s="230" t="s">
        <v>45</v>
      </c>
      <c r="K48" s="230" t="s">
        <v>45</v>
      </c>
      <c r="L48" s="230" t="s">
        <v>45</v>
      </c>
      <c r="M48" s="32"/>
      <c r="N48" s="230" t="s">
        <v>45</v>
      </c>
      <c r="O48" s="230" t="s">
        <v>45</v>
      </c>
      <c r="P48" s="230" t="s">
        <v>45</v>
      </c>
      <c r="Q48" s="32"/>
      <c r="R48" s="230" t="s">
        <v>45</v>
      </c>
      <c r="S48" s="230" t="s">
        <v>45</v>
      </c>
      <c r="T48" s="230" t="s">
        <v>45</v>
      </c>
      <c r="U48" s="32"/>
      <c r="V48" s="215" t="s">
        <v>151</v>
      </c>
      <c r="W48" s="28"/>
      <c r="X48" s="33">
        <v>20000</v>
      </c>
      <c r="Y48" s="70">
        <f t="shared" si="3"/>
        <v>10000000</v>
      </c>
      <c r="Z48" s="243">
        <v>300000</v>
      </c>
      <c r="AA48" s="238">
        <v>10000000</v>
      </c>
      <c r="AB48" s="28"/>
      <c r="AC48" s="28"/>
      <c r="AD48" s="29" t="s">
        <v>152</v>
      </c>
    </row>
    <row r="49" spans="1:31" x14ac:dyDescent="0.2">
      <c r="A49" s="28"/>
      <c r="B49" s="323" t="s">
        <v>153</v>
      </c>
      <c r="C49" s="324"/>
      <c r="D49" s="324"/>
      <c r="E49" s="324"/>
      <c r="F49" s="324"/>
      <c r="G49" s="324"/>
      <c r="H49" s="324"/>
      <c r="I49" s="324"/>
      <c r="J49" s="324"/>
      <c r="K49" s="324"/>
      <c r="L49" s="324"/>
      <c r="M49" s="324"/>
      <c r="N49" s="324"/>
      <c r="O49" s="324"/>
      <c r="P49" s="324"/>
      <c r="Q49" s="324"/>
      <c r="R49" s="324"/>
      <c r="S49" s="324"/>
      <c r="T49" s="324"/>
      <c r="U49" s="324"/>
      <c r="V49" s="324"/>
      <c r="W49" s="324"/>
      <c r="X49" s="324"/>
      <c r="Y49" s="324"/>
      <c r="Z49" s="324"/>
      <c r="AA49" s="324"/>
      <c r="AB49" s="324"/>
      <c r="AC49" s="324"/>
      <c r="AD49" s="325"/>
    </row>
    <row r="50" spans="1:31" ht="13.5" x14ac:dyDescent="0.25">
      <c r="A50" s="28"/>
      <c r="B50" s="320" t="s">
        <v>154</v>
      </c>
      <c r="C50" s="321"/>
      <c r="D50" s="321"/>
      <c r="E50" s="321"/>
      <c r="F50" s="321"/>
      <c r="G50" s="321"/>
      <c r="H50" s="321"/>
      <c r="I50" s="321"/>
      <c r="J50" s="321"/>
      <c r="K50" s="321"/>
      <c r="L50" s="321"/>
      <c r="M50" s="321"/>
      <c r="N50" s="321"/>
      <c r="O50" s="321"/>
      <c r="P50" s="321"/>
      <c r="Q50" s="321"/>
      <c r="R50" s="321"/>
      <c r="S50" s="321"/>
      <c r="T50" s="321"/>
      <c r="U50" s="321"/>
      <c r="V50" s="321"/>
      <c r="W50" s="321"/>
      <c r="X50" s="321"/>
      <c r="Y50" s="321"/>
      <c r="Z50" s="321"/>
      <c r="AA50" s="321"/>
      <c r="AB50" s="321"/>
      <c r="AC50" s="321"/>
      <c r="AD50" s="322"/>
    </row>
    <row r="51" spans="1:31" s="231" customFormat="1" ht="229.5" x14ac:dyDescent="0.2">
      <c r="A51" s="30">
        <f>+A50+1</f>
        <v>1</v>
      </c>
      <c r="B51" s="39" t="s">
        <v>155</v>
      </c>
      <c r="C51" s="39" t="s">
        <v>156</v>
      </c>
      <c r="D51" s="39" t="s">
        <v>157</v>
      </c>
      <c r="E51" s="42"/>
      <c r="F51" s="43" t="s">
        <v>45</v>
      </c>
      <c r="G51" s="43" t="s">
        <v>45</v>
      </c>
      <c r="H51" s="43" t="s">
        <v>45</v>
      </c>
      <c r="I51" s="42"/>
      <c r="J51" s="43" t="s">
        <v>45</v>
      </c>
      <c r="K51" s="43" t="s">
        <v>45</v>
      </c>
      <c r="L51" s="43" t="s">
        <v>45</v>
      </c>
      <c r="M51" s="42"/>
      <c r="N51" s="43" t="s">
        <v>45</v>
      </c>
      <c r="O51" s="43" t="s">
        <v>45</v>
      </c>
      <c r="P51" s="43" t="s">
        <v>45</v>
      </c>
      <c r="Q51" s="42"/>
      <c r="R51" s="43" t="s">
        <v>45</v>
      </c>
      <c r="S51" s="43" t="s">
        <v>45</v>
      </c>
      <c r="T51" s="43" t="s">
        <v>45</v>
      </c>
      <c r="U51" s="42"/>
      <c r="V51" s="31" t="s">
        <v>158</v>
      </c>
      <c r="W51" s="30"/>
      <c r="X51" s="45">
        <v>2400</v>
      </c>
      <c r="Y51" s="70">
        <f t="shared" ref="Y51:Y79" si="4">+X51*$X$2</f>
        <v>1200000</v>
      </c>
      <c r="Z51" s="244">
        <v>366125</v>
      </c>
      <c r="AA51" s="238">
        <v>1000000</v>
      </c>
      <c r="AB51" s="30"/>
      <c r="AC51" s="30"/>
      <c r="AD51" s="31" t="s">
        <v>159</v>
      </c>
      <c r="AE51" s="27"/>
    </row>
    <row r="52" spans="1:31" s="231" customFormat="1" ht="153" x14ac:dyDescent="0.2">
      <c r="A52" s="30">
        <f>+A51+1</f>
        <v>2</v>
      </c>
      <c r="B52" s="39" t="s">
        <v>160</v>
      </c>
      <c r="C52" s="39" t="s">
        <v>161</v>
      </c>
      <c r="D52" s="39" t="s">
        <v>157</v>
      </c>
      <c r="E52" s="42"/>
      <c r="F52" s="43" t="s">
        <v>45</v>
      </c>
      <c r="G52" s="43" t="s">
        <v>45</v>
      </c>
      <c r="H52" s="43" t="s">
        <v>45</v>
      </c>
      <c r="I52" s="42"/>
      <c r="J52" s="43" t="s">
        <v>45</v>
      </c>
      <c r="K52" s="43" t="s">
        <v>45</v>
      </c>
      <c r="L52" s="43" t="s">
        <v>45</v>
      </c>
      <c r="M52" s="42"/>
      <c r="N52" s="43" t="s">
        <v>45</v>
      </c>
      <c r="O52" s="43" t="s">
        <v>45</v>
      </c>
      <c r="P52" s="43" t="s">
        <v>45</v>
      </c>
      <c r="Q52" s="42"/>
      <c r="R52" s="43" t="s">
        <v>45</v>
      </c>
      <c r="S52" s="43" t="s">
        <v>45</v>
      </c>
      <c r="T52" s="43" t="s">
        <v>45</v>
      </c>
      <c r="U52" s="42"/>
      <c r="V52" s="31" t="s">
        <v>162</v>
      </c>
      <c r="W52" s="30"/>
      <c r="X52" s="45">
        <v>8000</v>
      </c>
      <c r="Y52" s="70">
        <f t="shared" si="4"/>
        <v>4000000</v>
      </c>
      <c r="Z52" s="244">
        <v>3280200</v>
      </c>
      <c r="AA52" s="238">
        <v>4000000</v>
      </c>
      <c r="AB52" s="30"/>
      <c r="AC52" s="30"/>
      <c r="AD52" s="31" t="s">
        <v>159</v>
      </c>
      <c r="AE52" s="27"/>
    </row>
    <row r="53" spans="1:31" s="231" customFormat="1" ht="191.25" x14ac:dyDescent="0.2">
      <c r="A53" s="30">
        <f>+A52+1</f>
        <v>3</v>
      </c>
      <c r="B53" s="39" t="s">
        <v>163</v>
      </c>
      <c r="C53" s="39" t="s">
        <v>164</v>
      </c>
      <c r="D53" s="39" t="s">
        <v>157</v>
      </c>
      <c r="E53" s="42"/>
      <c r="F53" s="43" t="s">
        <v>45</v>
      </c>
      <c r="G53" s="43" t="s">
        <v>45</v>
      </c>
      <c r="H53" s="43" t="s">
        <v>45</v>
      </c>
      <c r="I53" s="42"/>
      <c r="J53" s="43" t="s">
        <v>45</v>
      </c>
      <c r="K53" s="43" t="s">
        <v>45</v>
      </c>
      <c r="L53" s="43" t="s">
        <v>45</v>
      </c>
      <c r="M53" s="42"/>
      <c r="N53" s="43" t="s">
        <v>45</v>
      </c>
      <c r="O53" s="43" t="s">
        <v>45</v>
      </c>
      <c r="P53" s="43" t="s">
        <v>45</v>
      </c>
      <c r="Q53" s="42"/>
      <c r="R53" s="43" t="s">
        <v>45</v>
      </c>
      <c r="S53" s="43" t="s">
        <v>45</v>
      </c>
      <c r="T53" s="43" t="s">
        <v>45</v>
      </c>
      <c r="U53" s="42"/>
      <c r="V53" s="39" t="s">
        <v>165</v>
      </c>
      <c r="W53" s="30"/>
      <c r="X53" s="46">
        <v>8800</v>
      </c>
      <c r="Y53" s="70">
        <f t="shared" si="4"/>
        <v>4400000</v>
      </c>
      <c r="Z53" s="244">
        <v>609750</v>
      </c>
      <c r="AA53" s="238">
        <v>2500000</v>
      </c>
      <c r="AB53" s="30"/>
      <c r="AC53" s="30"/>
      <c r="AD53" s="31" t="s">
        <v>159</v>
      </c>
      <c r="AE53" s="27"/>
    </row>
    <row r="54" spans="1:31" ht="165.75" x14ac:dyDescent="0.2">
      <c r="A54" s="30">
        <f>+A53+1</f>
        <v>4</v>
      </c>
      <c r="B54" s="39" t="s">
        <v>166</v>
      </c>
      <c r="C54" s="39" t="s">
        <v>167</v>
      </c>
      <c r="D54" s="39" t="s">
        <v>157</v>
      </c>
      <c r="E54" s="32"/>
      <c r="F54" s="230" t="s">
        <v>45</v>
      </c>
      <c r="G54" s="230" t="s">
        <v>45</v>
      </c>
      <c r="H54" s="230" t="s">
        <v>45</v>
      </c>
      <c r="I54" s="32"/>
      <c r="J54" s="230" t="s">
        <v>45</v>
      </c>
      <c r="K54" s="230" t="s">
        <v>45</v>
      </c>
      <c r="L54" s="230" t="s">
        <v>45</v>
      </c>
      <c r="M54" s="32"/>
      <c r="N54" s="230" t="s">
        <v>45</v>
      </c>
      <c r="O54" s="230" t="s">
        <v>45</v>
      </c>
      <c r="P54" s="230" t="s">
        <v>45</v>
      </c>
      <c r="Q54" s="32"/>
      <c r="R54" s="230" t="s">
        <v>45</v>
      </c>
      <c r="S54" s="230" t="s">
        <v>45</v>
      </c>
      <c r="T54" s="230" t="s">
        <v>45</v>
      </c>
      <c r="U54" s="32"/>
      <c r="V54" s="218" t="s">
        <v>168</v>
      </c>
      <c r="W54" s="28"/>
      <c r="X54" s="37">
        <v>6000</v>
      </c>
      <c r="Y54" s="70">
        <f t="shared" si="4"/>
        <v>3000000</v>
      </c>
      <c r="Z54" s="244">
        <v>1314599</v>
      </c>
      <c r="AA54" s="238">
        <v>2000000</v>
      </c>
      <c r="AB54" s="28"/>
      <c r="AC54" s="28"/>
      <c r="AD54" s="31" t="s">
        <v>159</v>
      </c>
    </row>
    <row r="55" spans="1:31" ht="42.75" customHeight="1" x14ac:dyDescent="0.2">
      <c r="A55" s="30">
        <f>+A54+1</f>
        <v>5</v>
      </c>
      <c r="B55" s="39" t="s">
        <v>169</v>
      </c>
      <c r="C55" s="210" t="s">
        <v>170</v>
      </c>
      <c r="D55" s="210"/>
      <c r="E55" s="211"/>
      <c r="F55" s="230" t="s">
        <v>45</v>
      </c>
      <c r="G55" s="230" t="s">
        <v>45</v>
      </c>
      <c r="H55" s="230" t="s">
        <v>45</v>
      </c>
      <c r="I55" s="32"/>
      <c r="J55" s="230" t="s">
        <v>45</v>
      </c>
      <c r="K55" s="230" t="s">
        <v>45</v>
      </c>
      <c r="L55" s="230" t="s">
        <v>45</v>
      </c>
      <c r="M55" s="32"/>
      <c r="N55" s="230" t="s">
        <v>45</v>
      </c>
      <c r="O55" s="230" t="s">
        <v>45</v>
      </c>
      <c r="P55" s="230" t="s">
        <v>45</v>
      </c>
      <c r="Q55" s="32"/>
      <c r="R55" s="230" t="s">
        <v>45</v>
      </c>
      <c r="S55" s="230" t="s">
        <v>45</v>
      </c>
      <c r="T55" s="230" t="s">
        <v>45</v>
      </c>
      <c r="U55" s="211"/>
      <c r="V55" s="216" t="s">
        <v>171</v>
      </c>
      <c r="W55" s="212"/>
      <c r="X55" s="213">
        <v>2000</v>
      </c>
      <c r="Y55" s="70">
        <f t="shared" si="4"/>
        <v>1000000</v>
      </c>
      <c r="Z55" s="244"/>
      <c r="AA55" s="251">
        <v>1000000</v>
      </c>
      <c r="AB55" s="212"/>
      <c r="AC55" s="212"/>
      <c r="AD55" s="31" t="s">
        <v>159</v>
      </c>
    </row>
    <row r="56" spans="1:31" ht="13.5" x14ac:dyDescent="0.25">
      <c r="A56" s="28"/>
      <c r="B56" s="348" t="s">
        <v>172</v>
      </c>
      <c r="C56" s="349"/>
      <c r="D56" s="349"/>
      <c r="E56" s="349"/>
      <c r="F56" s="349"/>
      <c r="G56" s="349"/>
      <c r="H56" s="349"/>
      <c r="I56" s="349"/>
      <c r="J56" s="349"/>
      <c r="K56" s="349"/>
      <c r="L56" s="349"/>
      <c r="M56" s="349"/>
      <c r="N56" s="349"/>
      <c r="O56" s="349"/>
      <c r="P56" s="349"/>
      <c r="Q56" s="349"/>
      <c r="R56" s="349"/>
      <c r="S56" s="349"/>
      <c r="T56" s="349"/>
      <c r="U56" s="349"/>
      <c r="V56" s="349"/>
      <c r="W56" s="349"/>
      <c r="X56" s="349"/>
      <c r="Y56" s="349"/>
      <c r="Z56" s="349"/>
      <c r="AA56" s="349"/>
      <c r="AB56" s="349"/>
      <c r="AC56" s="349"/>
      <c r="AD56" s="350"/>
    </row>
    <row r="57" spans="1:31" s="231" customFormat="1" ht="42" customHeight="1" x14ac:dyDescent="0.2">
      <c r="A57" s="30">
        <f>+A56+1</f>
        <v>1</v>
      </c>
      <c r="B57" s="39" t="s">
        <v>173</v>
      </c>
      <c r="C57" s="39" t="s">
        <v>174</v>
      </c>
      <c r="D57" s="39" t="s">
        <v>157</v>
      </c>
      <c r="E57" s="42"/>
      <c r="F57" s="43" t="s">
        <v>45</v>
      </c>
      <c r="G57" s="43" t="s">
        <v>45</v>
      </c>
      <c r="H57" s="43" t="s">
        <v>45</v>
      </c>
      <c r="I57" s="42"/>
      <c r="J57" s="43" t="s">
        <v>45</v>
      </c>
      <c r="K57" s="43" t="s">
        <v>45</v>
      </c>
      <c r="L57" s="43" t="s">
        <v>45</v>
      </c>
      <c r="M57" s="42"/>
      <c r="N57" s="43" t="s">
        <v>45</v>
      </c>
      <c r="O57" s="43" t="s">
        <v>45</v>
      </c>
      <c r="P57" s="43" t="s">
        <v>45</v>
      </c>
      <c r="Q57" s="42"/>
      <c r="R57" s="43" t="s">
        <v>45</v>
      </c>
      <c r="S57" s="43" t="s">
        <v>45</v>
      </c>
      <c r="T57" s="43" t="s">
        <v>45</v>
      </c>
      <c r="U57" s="42"/>
      <c r="V57" s="29" t="s">
        <v>175</v>
      </c>
      <c r="W57" s="30"/>
      <c r="X57" s="187">
        <v>6000</v>
      </c>
      <c r="Y57" s="70">
        <f t="shared" si="4"/>
        <v>3000000</v>
      </c>
      <c r="Z57" s="244">
        <v>221500</v>
      </c>
      <c r="AA57" s="238">
        <v>1000000</v>
      </c>
      <c r="AB57" s="30"/>
      <c r="AC57" s="30"/>
      <c r="AD57" s="31" t="s">
        <v>159</v>
      </c>
      <c r="AE57" s="27"/>
    </row>
    <row r="58" spans="1:31" s="231" customFormat="1" ht="36" customHeight="1" x14ac:dyDescent="0.2">
      <c r="A58" s="30">
        <f>+A57+1</f>
        <v>2</v>
      </c>
      <c r="B58" s="39" t="s">
        <v>176</v>
      </c>
      <c r="C58" s="39" t="s">
        <v>174</v>
      </c>
      <c r="D58" s="39" t="s">
        <v>157</v>
      </c>
      <c r="E58" s="42"/>
      <c r="F58" s="43" t="s">
        <v>45</v>
      </c>
      <c r="G58" s="43" t="s">
        <v>45</v>
      </c>
      <c r="H58" s="43" t="s">
        <v>45</v>
      </c>
      <c r="I58" s="42"/>
      <c r="J58" s="43" t="s">
        <v>45</v>
      </c>
      <c r="K58" s="43" t="s">
        <v>45</v>
      </c>
      <c r="L58" s="43" t="s">
        <v>45</v>
      </c>
      <c r="M58" s="42"/>
      <c r="N58" s="43" t="s">
        <v>45</v>
      </c>
      <c r="O58" s="43" t="s">
        <v>45</v>
      </c>
      <c r="P58" s="43" t="s">
        <v>45</v>
      </c>
      <c r="Q58" s="42"/>
      <c r="R58" s="43" t="s">
        <v>45</v>
      </c>
      <c r="S58" s="43" t="s">
        <v>45</v>
      </c>
      <c r="T58" s="43" t="s">
        <v>45</v>
      </c>
      <c r="U58" s="42"/>
      <c r="V58" s="194" t="s">
        <v>177</v>
      </c>
      <c r="W58" s="30"/>
      <c r="X58" s="187">
        <v>6000</v>
      </c>
      <c r="Y58" s="70">
        <f t="shared" si="4"/>
        <v>3000000</v>
      </c>
      <c r="Z58" s="244">
        <v>1842507</v>
      </c>
      <c r="AA58" s="238">
        <v>2000000</v>
      </c>
      <c r="AB58" s="30"/>
      <c r="AC58" s="30"/>
      <c r="AD58" s="31" t="s">
        <v>178</v>
      </c>
      <c r="AE58" s="27"/>
    </row>
    <row r="59" spans="1:31" s="231" customFormat="1" ht="36" customHeight="1" x14ac:dyDescent="0.2">
      <c r="A59" s="30"/>
      <c r="B59" s="326" t="s">
        <v>179</v>
      </c>
      <c r="C59" s="327"/>
      <c r="D59" s="327"/>
      <c r="E59" s="327"/>
      <c r="F59" s="327"/>
      <c r="G59" s="327"/>
      <c r="H59" s="327"/>
      <c r="I59" s="327"/>
      <c r="J59" s="327"/>
      <c r="K59" s="327"/>
      <c r="L59" s="327"/>
      <c r="M59" s="327"/>
      <c r="N59" s="327"/>
      <c r="O59" s="327"/>
      <c r="P59" s="327"/>
      <c r="Q59" s="327"/>
      <c r="R59" s="327"/>
      <c r="S59" s="327"/>
      <c r="T59" s="327"/>
      <c r="U59" s="327"/>
      <c r="V59" s="327"/>
      <c r="W59" s="327"/>
      <c r="X59" s="327"/>
      <c r="Y59" s="327"/>
      <c r="Z59" s="327"/>
      <c r="AA59" s="327"/>
      <c r="AB59" s="327"/>
      <c r="AC59" s="327"/>
      <c r="AD59" s="328"/>
      <c r="AE59" s="27"/>
    </row>
    <row r="60" spans="1:31" s="231" customFormat="1" ht="36" customHeight="1" x14ac:dyDescent="0.2">
      <c r="A60" s="30">
        <f>+A59+1</f>
        <v>1</v>
      </c>
      <c r="B60" s="39" t="s">
        <v>180</v>
      </c>
      <c r="C60" s="39" t="s">
        <v>181</v>
      </c>
      <c r="D60" s="39" t="s">
        <v>157</v>
      </c>
      <c r="E60" s="42"/>
      <c r="F60" s="43" t="s">
        <v>45</v>
      </c>
      <c r="G60" s="43" t="s">
        <v>45</v>
      </c>
      <c r="H60" s="43" t="s">
        <v>45</v>
      </c>
      <c r="I60" s="42"/>
      <c r="J60" s="43" t="s">
        <v>45</v>
      </c>
      <c r="K60" s="43" t="s">
        <v>45</v>
      </c>
      <c r="L60" s="43" t="s">
        <v>45</v>
      </c>
      <c r="M60" s="42"/>
      <c r="N60" s="43" t="s">
        <v>45</v>
      </c>
      <c r="O60" s="43" t="s">
        <v>45</v>
      </c>
      <c r="P60" s="43" t="s">
        <v>45</v>
      </c>
      <c r="Q60" s="42"/>
      <c r="R60" s="43" t="s">
        <v>45</v>
      </c>
      <c r="S60" s="43" t="s">
        <v>45</v>
      </c>
      <c r="T60" s="43" t="s">
        <v>45</v>
      </c>
      <c r="U60" s="42"/>
      <c r="V60" s="29" t="s">
        <v>182</v>
      </c>
      <c r="W60" s="30"/>
      <c r="X60" s="45">
        <v>5000</v>
      </c>
      <c r="Y60" s="70">
        <f t="shared" si="4"/>
        <v>2500000</v>
      </c>
      <c r="Z60" s="256">
        <v>1219500</v>
      </c>
      <c r="AA60" s="238">
        <v>2500000</v>
      </c>
      <c r="AB60" s="30"/>
      <c r="AC60" s="30"/>
      <c r="AD60" s="31" t="s">
        <v>183</v>
      </c>
      <c r="AE60" s="27"/>
    </row>
    <row r="61" spans="1:31" s="231" customFormat="1" ht="130.5" customHeight="1" x14ac:dyDescent="0.2">
      <c r="A61" s="30">
        <f>+A60+1</f>
        <v>2</v>
      </c>
      <c r="B61" s="39" t="s">
        <v>184</v>
      </c>
      <c r="C61" s="39" t="s">
        <v>185</v>
      </c>
      <c r="D61" s="39" t="s">
        <v>157</v>
      </c>
      <c r="E61" s="42"/>
      <c r="F61" s="43" t="s">
        <v>45</v>
      </c>
      <c r="G61" s="43" t="s">
        <v>45</v>
      </c>
      <c r="H61" s="43" t="s">
        <v>45</v>
      </c>
      <c r="I61" s="42"/>
      <c r="J61" s="43" t="s">
        <v>45</v>
      </c>
      <c r="K61" s="43" t="s">
        <v>45</v>
      </c>
      <c r="L61" s="43" t="s">
        <v>45</v>
      </c>
      <c r="M61" s="42"/>
      <c r="N61" s="43" t="s">
        <v>45</v>
      </c>
      <c r="O61" s="43" t="s">
        <v>45</v>
      </c>
      <c r="P61" s="43" t="s">
        <v>45</v>
      </c>
      <c r="Q61" s="42"/>
      <c r="R61" s="43" t="s">
        <v>45</v>
      </c>
      <c r="S61" s="43" t="s">
        <v>45</v>
      </c>
      <c r="T61" s="43" t="s">
        <v>45</v>
      </c>
      <c r="U61" s="42"/>
      <c r="V61" s="31" t="s">
        <v>186</v>
      </c>
      <c r="W61" s="30"/>
      <c r="X61" s="45">
        <v>3600</v>
      </c>
      <c r="Y61" s="70">
        <f t="shared" si="4"/>
        <v>1800000</v>
      </c>
      <c r="Z61" s="256">
        <v>88500</v>
      </c>
      <c r="AA61" s="238">
        <v>1000000</v>
      </c>
      <c r="AB61" s="30"/>
      <c r="AC61" s="30"/>
      <c r="AD61" s="31" t="s">
        <v>183</v>
      </c>
      <c r="AE61" s="27"/>
    </row>
    <row r="62" spans="1:31" ht="64.5" customHeight="1" x14ac:dyDescent="0.2">
      <c r="A62" s="30">
        <f>+A61+1</f>
        <v>3</v>
      </c>
      <c r="B62" s="39" t="s">
        <v>187</v>
      </c>
      <c r="C62" s="39" t="s">
        <v>188</v>
      </c>
      <c r="D62" s="39" t="s">
        <v>157</v>
      </c>
      <c r="E62" s="42"/>
      <c r="F62" s="43" t="s">
        <v>45</v>
      </c>
      <c r="G62" s="43" t="s">
        <v>45</v>
      </c>
      <c r="H62" s="43" t="s">
        <v>45</v>
      </c>
      <c r="I62" s="42"/>
      <c r="J62" s="43" t="s">
        <v>45</v>
      </c>
      <c r="K62" s="43" t="s">
        <v>45</v>
      </c>
      <c r="L62" s="43" t="s">
        <v>45</v>
      </c>
      <c r="M62" s="42"/>
      <c r="N62" s="43" t="s">
        <v>45</v>
      </c>
      <c r="O62" s="43" t="s">
        <v>45</v>
      </c>
      <c r="P62" s="43" t="s">
        <v>45</v>
      </c>
      <c r="Q62" s="42"/>
      <c r="R62" s="43" t="s">
        <v>45</v>
      </c>
      <c r="S62" s="43" t="s">
        <v>45</v>
      </c>
      <c r="T62" s="43" t="s">
        <v>45</v>
      </c>
      <c r="U62" s="42"/>
      <c r="V62" s="29" t="s">
        <v>189</v>
      </c>
      <c r="W62" s="30"/>
      <c r="X62" s="45">
        <v>2000</v>
      </c>
      <c r="Y62" s="70">
        <f t="shared" si="4"/>
        <v>1000000</v>
      </c>
      <c r="Z62" s="256">
        <v>1494900</v>
      </c>
      <c r="AA62" s="238">
        <v>2000000</v>
      </c>
      <c r="AB62" s="30"/>
      <c r="AC62" s="30"/>
      <c r="AD62" s="31" t="s">
        <v>183</v>
      </c>
    </row>
    <row r="63" spans="1:31" ht="49.5" customHeight="1" x14ac:dyDescent="0.2">
      <c r="A63" s="30">
        <f>+A62+1</f>
        <v>4</v>
      </c>
      <c r="B63" s="39" t="s">
        <v>190</v>
      </c>
      <c r="C63" s="39" t="s">
        <v>191</v>
      </c>
      <c r="D63" s="39" t="s">
        <v>157</v>
      </c>
      <c r="E63" s="42"/>
      <c r="F63" s="43" t="s">
        <v>45</v>
      </c>
      <c r="G63" s="43" t="s">
        <v>45</v>
      </c>
      <c r="H63" s="43" t="s">
        <v>45</v>
      </c>
      <c r="I63" s="42"/>
      <c r="J63" s="43" t="s">
        <v>45</v>
      </c>
      <c r="K63" s="43" t="s">
        <v>45</v>
      </c>
      <c r="L63" s="43" t="s">
        <v>45</v>
      </c>
      <c r="M63" s="42"/>
      <c r="N63" s="43" t="s">
        <v>45</v>
      </c>
      <c r="O63" s="43" t="s">
        <v>45</v>
      </c>
      <c r="P63" s="43" t="s">
        <v>45</v>
      </c>
      <c r="Q63" s="42"/>
      <c r="R63" s="43" t="s">
        <v>45</v>
      </c>
      <c r="S63" s="43" t="s">
        <v>45</v>
      </c>
      <c r="T63" s="43" t="s">
        <v>45</v>
      </c>
      <c r="U63" s="42"/>
      <c r="V63" s="31" t="s">
        <v>192</v>
      </c>
      <c r="W63" s="30"/>
      <c r="X63" s="45">
        <v>500</v>
      </c>
      <c r="Y63" s="70">
        <f t="shared" si="4"/>
        <v>250000</v>
      </c>
      <c r="Z63" s="256"/>
      <c r="AA63" s="238">
        <v>250000</v>
      </c>
      <c r="AB63" s="30"/>
      <c r="AC63" s="30"/>
      <c r="AD63" s="31" t="s">
        <v>183</v>
      </c>
    </row>
    <row r="64" spans="1:31" ht="49.5" customHeight="1" x14ac:dyDescent="0.2">
      <c r="A64" s="30">
        <f>+A63+1</f>
        <v>5</v>
      </c>
      <c r="B64" s="39" t="s">
        <v>193</v>
      </c>
      <c r="C64" s="39" t="s">
        <v>194</v>
      </c>
      <c r="D64" s="39"/>
      <c r="E64" s="42"/>
      <c r="F64" s="43" t="s">
        <v>45</v>
      </c>
      <c r="G64" s="43" t="s">
        <v>45</v>
      </c>
      <c r="H64" s="43" t="s">
        <v>45</v>
      </c>
      <c r="I64" s="42"/>
      <c r="J64" s="43" t="s">
        <v>45</v>
      </c>
      <c r="K64" s="43" t="s">
        <v>45</v>
      </c>
      <c r="L64" s="43" t="s">
        <v>45</v>
      </c>
      <c r="M64" s="42"/>
      <c r="N64" s="43" t="s">
        <v>45</v>
      </c>
      <c r="O64" s="43" t="s">
        <v>45</v>
      </c>
      <c r="P64" s="43" t="s">
        <v>45</v>
      </c>
      <c r="Q64" s="42"/>
      <c r="R64" s="43" t="s">
        <v>45</v>
      </c>
      <c r="S64" s="43" t="s">
        <v>45</v>
      </c>
      <c r="T64" s="43" t="s">
        <v>45</v>
      </c>
      <c r="U64" s="42"/>
      <c r="V64" s="31" t="s">
        <v>195</v>
      </c>
      <c r="W64" s="30"/>
      <c r="X64" s="45">
        <v>128695</v>
      </c>
      <c r="Y64" s="70">
        <f t="shared" si="4"/>
        <v>64347500</v>
      </c>
      <c r="Z64" s="256">
        <v>66495496</v>
      </c>
      <c r="AA64" s="238"/>
      <c r="AB64" s="30"/>
      <c r="AC64" s="30"/>
      <c r="AD64" s="31" t="s">
        <v>183</v>
      </c>
    </row>
    <row r="65" spans="1:30" ht="13.5" x14ac:dyDescent="0.2">
      <c r="A65" s="30"/>
      <c r="B65" s="326" t="s">
        <v>196</v>
      </c>
      <c r="C65" s="327"/>
      <c r="D65" s="327"/>
      <c r="E65" s="327"/>
      <c r="F65" s="327"/>
      <c r="G65" s="327"/>
      <c r="H65" s="327"/>
      <c r="I65" s="327"/>
      <c r="J65" s="327"/>
      <c r="K65" s="327"/>
      <c r="L65" s="327"/>
      <c r="M65" s="327"/>
      <c r="N65" s="327"/>
      <c r="O65" s="327"/>
      <c r="P65" s="327"/>
      <c r="Q65" s="327"/>
      <c r="R65" s="327"/>
      <c r="S65" s="327"/>
      <c r="T65" s="327"/>
      <c r="U65" s="327"/>
      <c r="V65" s="327"/>
      <c r="W65" s="327"/>
      <c r="X65" s="327"/>
      <c r="Y65" s="327"/>
      <c r="Z65" s="327"/>
      <c r="AA65" s="327"/>
      <c r="AB65" s="327"/>
      <c r="AC65" s="327"/>
      <c r="AD65" s="328"/>
    </row>
    <row r="66" spans="1:30" ht="57" customHeight="1" x14ac:dyDescent="0.2">
      <c r="A66" s="30">
        <v>1</v>
      </c>
      <c r="B66" s="39" t="s">
        <v>197</v>
      </c>
      <c r="C66" s="39" t="s">
        <v>198</v>
      </c>
      <c r="D66" s="39" t="s">
        <v>157</v>
      </c>
      <c r="E66" s="42"/>
      <c r="F66" s="43" t="s">
        <v>45</v>
      </c>
      <c r="G66" s="43" t="s">
        <v>45</v>
      </c>
      <c r="H66" s="43" t="s">
        <v>45</v>
      </c>
      <c r="I66" s="42"/>
      <c r="J66" s="43" t="s">
        <v>45</v>
      </c>
      <c r="K66" s="43" t="s">
        <v>45</v>
      </c>
      <c r="L66" s="43" t="s">
        <v>45</v>
      </c>
      <c r="M66" s="42"/>
      <c r="N66" s="43" t="s">
        <v>45</v>
      </c>
      <c r="O66" s="43" t="s">
        <v>45</v>
      </c>
      <c r="P66" s="43" t="s">
        <v>45</v>
      </c>
      <c r="Q66" s="42"/>
      <c r="R66" s="43" t="s">
        <v>45</v>
      </c>
      <c r="S66" s="43" t="s">
        <v>45</v>
      </c>
      <c r="T66" s="43" t="s">
        <v>45</v>
      </c>
      <c r="U66" s="42"/>
      <c r="V66" s="39" t="s">
        <v>199</v>
      </c>
      <c r="W66" s="47"/>
      <c r="X66" s="45">
        <v>2400</v>
      </c>
      <c r="Y66" s="70">
        <f t="shared" si="4"/>
        <v>1200000</v>
      </c>
      <c r="Z66" s="244">
        <v>1006150</v>
      </c>
      <c r="AA66" s="238">
        <v>1200000</v>
      </c>
      <c r="AB66" s="47"/>
      <c r="AC66" s="47"/>
      <c r="AD66" s="31" t="s">
        <v>183</v>
      </c>
    </row>
    <row r="67" spans="1:30" ht="69" customHeight="1" x14ac:dyDescent="0.2">
      <c r="A67" s="30">
        <f>+A66+1</f>
        <v>2</v>
      </c>
      <c r="B67" s="39" t="s">
        <v>200</v>
      </c>
      <c r="C67" s="39" t="s">
        <v>201</v>
      </c>
      <c r="D67" s="39" t="s">
        <v>157</v>
      </c>
      <c r="E67" s="42"/>
      <c r="F67" s="43" t="s">
        <v>45</v>
      </c>
      <c r="G67" s="43" t="s">
        <v>45</v>
      </c>
      <c r="H67" s="43" t="s">
        <v>45</v>
      </c>
      <c r="I67" s="42"/>
      <c r="J67" s="43" t="s">
        <v>45</v>
      </c>
      <c r="K67" s="43" t="s">
        <v>45</v>
      </c>
      <c r="L67" s="43" t="s">
        <v>45</v>
      </c>
      <c r="M67" s="42"/>
      <c r="N67" s="43" t="s">
        <v>45</v>
      </c>
      <c r="O67" s="43" t="s">
        <v>45</v>
      </c>
      <c r="P67" s="43" t="s">
        <v>45</v>
      </c>
      <c r="Q67" s="42"/>
      <c r="R67" s="43" t="s">
        <v>45</v>
      </c>
      <c r="S67" s="43" t="s">
        <v>45</v>
      </c>
      <c r="T67" s="43" t="s">
        <v>45</v>
      </c>
      <c r="U67" s="42"/>
      <c r="V67" s="39" t="s">
        <v>202</v>
      </c>
      <c r="W67" s="47"/>
      <c r="X67" s="45">
        <v>3600</v>
      </c>
      <c r="Y67" s="70">
        <f t="shared" si="4"/>
        <v>1800000</v>
      </c>
      <c r="Z67" s="244"/>
      <c r="AA67" s="238">
        <v>1800000</v>
      </c>
      <c r="AB67" s="47"/>
      <c r="AC67" s="47"/>
      <c r="AD67" s="31" t="s">
        <v>183</v>
      </c>
    </row>
    <row r="68" spans="1:30" ht="64.5" customHeight="1" x14ac:dyDescent="0.2">
      <c r="A68" s="30">
        <f t="shared" ref="A68:A79" si="5">+A67+1</f>
        <v>3</v>
      </c>
      <c r="B68" s="39" t="s">
        <v>203</v>
      </c>
      <c r="C68" s="39" t="s">
        <v>204</v>
      </c>
      <c r="D68" s="39" t="s">
        <v>157</v>
      </c>
      <c r="E68" s="42"/>
      <c r="F68" s="43" t="s">
        <v>45</v>
      </c>
      <c r="G68" s="43" t="s">
        <v>45</v>
      </c>
      <c r="H68" s="43" t="s">
        <v>45</v>
      </c>
      <c r="I68" s="42"/>
      <c r="J68" s="43" t="s">
        <v>45</v>
      </c>
      <c r="K68" s="43" t="s">
        <v>45</v>
      </c>
      <c r="L68" s="43" t="s">
        <v>45</v>
      </c>
      <c r="M68" s="42"/>
      <c r="N68" s="43" t="s">
        <v>45</v>
      </c>
      <c r="O68" s="43" t="s">
        <v>45</v>
      </c>
      <c r="P68" s="43" t="s">
        <v>45</v>
      </c>
      <c r="Q68" s="42"/>
      <c r="R68" s="43" t="s">
        <v>45</v>
      </c>
      <c r="S68" s="43" t="s">
        <v>45</v>
      </c>
      <c r="T68" s="43" t="s">
        <v>45</v>
      </c>
      <c r="U68" s="42"/>
      <c r="V68" s="39" t="s">
        <v>205</v>
      </c>
      <c r="W68" s="47"/>
      <c r="X68" s="45">
        <v>3600</v>
      </c>
      <c r="Y68" s="70">
        <f t="shared" si="4"/>
        <v>1800000</v>
      </c>
      <c r="Z68" s="244">
        <v>209425</v>
      </c>
      <c r="AA68" s="238">
        <v>1200000</v>
      </c>
      <c r="AB68" s="47"/>
      <c r="AC68" s="47"/>
      <c r="AD68" s="31" t="s">
        <v>183</v>
      </c>
    </row>
    <row r="69" spans="1:30" ht="48" customHeight="1" x14ac:dyDescent="0.2">
      <c r="A69" s="30">
        <f t="shared" si="5"/>
        <v>4</v>
      </c>
      <c r="B69" s="39" t="s">
        <v>206</v>
      </c>
      <c r="C69" s="39" t="s">
        <v>207</v>
      </c>
      <c r="D69" s="39" t="s">
        <v>157</v>
      </c>
      <c r="E69" s="42"/>
      <c r="F69" s="43" t="s">
        <v>45</v>
      </c>
      <c r="G69" s="43" t="s">
        <v>45</v>
      </c>
      <c r="H69" s="43" t="s">
        <v>45</v>
      </c>
      <c r="I69" s="42"/>
      <c r="J69" s="43" t="s">
        <v>45</v>
      </c>
      <c r="K69" s="43" t="s">
        <v>45</v>
      </c>
      <c r="L69" s="43" t="s">
        <v>45</v>
      </c>
      <c r="M69" s="42"/>
      <c r="N69" s="43" t="s">
        <v>45</v>
      </c>
      <c r="O69" s="43" t="s">
        <v>45</v>
      </c>
      <c r="P69" s="43" t="s">
        <v>45</v>
      </c>
      <c r="Q69" s="42"/>
      <c r="R69" s="43" t="s">
        <v>45</v>
      </c>
      <c r="S69" s="43" t="s">
        <v>45</v>
      </c>
      <c r="T69" s="43" t="s">
        <v>45</v>
      </c>
      <c r="U69" s="42"/>
      <c r="V69" s="39" t="s">
        <v>208</v>
      </c>
      <c r="W69" s="47"/>
      <c r="X69" s="45">
        <v>2400</v>
      </c>
      <c r="Y69" s="70">
        <f t="shared" si="4"/>
        <v>1200000</v>
      </c>
      <c r="Z69" s="244">
        <v>901000</v>
      </c>
      <c r="AA69" s="238">
        <v>800000</v>
      </c>
      <c r="AB69" s="47"/>
      <c r="AC69" s="47"/>
      <c r="AD69" s="31" t="s">
        <v>183</v>
      </c>
    </row>
    <row r="70" spans="1:30" ht="37.5" customHeight="1" x14ac:dyDescent="0.2">
      <c r="A70" s="30">
        <f t="shared" si="5"/>
        <v>5</v>
      </c>
      <c r="B70" s="39" t="s">
        <v>209</v>
      </c>
      <c r="C70" s="39" t="s">
        <v>210</v>
      </c>
      <c r="D70" s="39" t="s">
        <v>157</v>
      </c>
      <c r="E70" s="42"/>
      <c r="F70" s="43" t="s">
        <v>45</v>
      </c>
      <c r="G70" s="43" t="s">
        <v>45</v>
      </c>
      <c r="H70" s="43" t="s">
        <v>45</v>
      </c>
      <c r="I70" s="42"/>
      <c r="J70" s="43" t="s">
        <v>45</v>
      </c>
      <c r="K70" s="43" t="s">
        <v>45</v>
      </c>
      <c r="L70" s="43" t="s">
        <v>45</v>
      </c>
      <c r="M70" s="42"/>
      <c r="N70" s="43" t="s">
        <v>45</v>
      </c>
      <c r="O70" s="43" t="s">
        <v>45</v>
      </c>
      <c r="P70" s="43" t="s">
        <v>45</v>
      </c>
      <c r="Q70" s="42"/>
      <c r="R70" s="43" t="s">
        <v>45</v>
      </c>
      <c r="S70" s="43" t="s">
        <v>45</v>
      </c>
      <c r="T70" s="43" t="s">
        <v>45</v>
      </c>
      <c r="U70" s="42"/>
      <c r="V70" s="39" t="s">
        <v>211</v>
      </c>
      <c r="W70" s="47"/>
      <c r="X70" s="45">
        <v>2400</v>
      </c>
      <c r="Y70" s="70">
        <f t="shared" si="4"/>
        <v>1200000</v>
      </c>
      <c r="Z70" s="244"/>
      <c r="AA70" s="238">
        <v>1200000</v>
      </c>
      <c r="AB70" s="47"/>
      <c r="AC70" s="47"/>
      <c r="AD70" s="31" t="s">
        <v>183</v>
      </c>
    </row>
    <row r="71" spans="1:30" ht="37.5" customHeight="1" x14ac:dyDescent="0.2">
      <c r="A71" s="30">
        <f t="shared" si="5"/>
        <v>6</v>
      </c>
      <c r="B71" s="39" t="s">
        <v>212</v>
      </c>
      <c r="C71" s="39" t="s">
        <v>213</v>
      </c>
      <c r="D71" s="39"/>
      <c r="E71" s="42"/>
      <c r="F71" s="43" t="s">
        <v>45</v>
      </c>
      <c r="G71" s="43" t="s">
        <v>45</v>
      </c>
      <c r="H71" s="43" t="s">
        <v>45</v>
      </c>
      <c r="I71" s="42"/>
      <c r="J71" s="43" t="s">
        <v>45</v>
      </c>
      <c r="K71" s="43" t="s">
        <v>45</v>
      </c>
      <c r="L71" s="43" t="s">
        <v>45</v>
      </c>
      <c r="M71" s="42"/>
      <c r="N71" s="43" t="s">
        <v>45</v>
      </c>
      <c r="O71" s="43" t="s">
        <v>45</v>
      </c>
      <c r="P71" s="43" t="s">
        <v>45</v>
      </c>
      <c r="Q71" s="42"/>
      <c r="R71" s="43" t="s">
        <v>45</v>
      </c>
      <c r="S71" s="43" t="s">
        <v>45</v>
      </c>
      <c r="T71" s="43" t="s">
        <v>45</v>
      </c>
      <c r="U71" s="42"/>
      <c r="V71" s="214" t="s">
        <v>214</v>
      </c>
      <c r="W71" s="47"/>
      <c r="X71" s="45">
        <v>3600</v>
      </c>
      <c r="Y71" s="70">
        <f t="shared" si="4"/>
        <v>1800000</v>
      </c>
      <c r="Z71" s="244"/>
      <c r="AA71" s="238">
        <v>1800000</v>
      </c>
      <c r="AB71" s="47"/>
      <c r="AC71" s="47"/>
      <c r="AD71" s="31" t="s">
        <v>183</v>
      </c>
    </row>
    <row r="72" spans="1:30" ht="37.5" customHeight="1" x14ac:dyDescent="0.2">
      <c r="A72" s="30">
        <f t="shared" si="5"/>
        <v>7</v>
      </c>
      <c r="B72" s="39" t="s">
        <v>215</v>
      </c>
      <c r="C72" s="39" t="s">
        <v>216</v>
      </c>
      <c r="D72" s="39"/>
      <c r="E72" s="42"/>
      <c r="F72" s="43" t="s">
        <v>45</v>
      </c>
      <c r="G72" s="43" t="s">
        <v>45</v>
      </c>
      <c r="H72" s="43" t="s">
        <v>45</v>
      </c>
      <c r="I72" s="42"/>
      <c r="J72" s="43" t="s">
        <v>45</v>
      </c>
      <c r="K72" s="43" t="s">
        <v>45</v>
      </c>
      <c r="L72" s="43" t="s">
        <v>45</v>
      </c>
      <c r="M72" s="42"/>
      <c r="N72" s="43" t="s">
        <v>45</v>
      </c>
      <c r="O72" s="43" t="s">
        <v>45</v>
      </c>
      <c r="P72" s="43" t="s">
        <v>45</v>
      </c>
      <c r="Q72" s="42"/>
      <c r="R72" s="43" t="s">
        <v>45</v>
      </c>
      <c r="S72" s="43" t="s">
        <v>45</v>
      </c>
      <c r="T72" s="43" t="s">
        <v>45</v>
      </c>
      <c r="U72" s="42"/>
      <c r="V72" s="39" t="s">
        <v>217</v>
      </c>
      <c r="W72" s="47"/>
      <c r="X72" s="45">
        <v>2000</v>
      </c>
      <c r="Y72" s="70">
        <f t="shared" si="4"/>
        <v>1000000</v>
      </c>
      <c r="Z72" s="244">
        <v>2586225</v>
      </c>
      <c r="AA72" s="238">
        <v>1200000</v>
      </c>
      <c r="AB72" s="47"/>
      <c r="AC72" s="47"/>
      <c r="AD72" s="31" t="s">
        <v>183</v>
      </c>
    </row>
    <row r="73" spans="1:30" ht="13.5" x14ac:dyDescent="0.2">
      <c r="A73" s="30"/>
      <c r="B73" s="326" t="s">
        <v>218</v>
      </c>
      <c r="C73" s="327"/>
      <c r="D73" s="327"/>
      <c r="E73" s="327"/>
      <c r="F73" s="327"/>
      <c r="G73" s="327"/>
      <c r="H73" s="327"/>
      <c r="I73" s="327"/>
      <c r="J73" s="327"/>
      <c r="K73" s="327"/>
      <c r="L73" s="327"/>
      <c r="M73" s="327"/>
      <c r="N73" s="327"/>
      <c r="O73" s="327"/>
      <c r="P73" s="327"/>
      <c r="Q73" s="327"/>
      <c r="R73" s="327"/>
      <c r="S73" s="327"/>
      <c r="T73" s="327"/>
      <c r="U73" s="327"/>
      <c r="V73" s="327"/>
      <c r="W73" s="327"/>
      <c r="X73" s="327"/>
      <c r="Y73" s="327"/>
      <c r="Z73" s="327"/>
      <c r="AA73" s="327"/>
      <c r="AB73" s="327"/>
      <c r="AC73" s="327"/>
      <c r="AD73" s="328"/>
    </row>
    <row r="74" spans="1:30" ht="63.75" x14ac:dyDescent="0.2">
      <c r="A74" s="30">
        <f t="shared" si="5"/>
        <v>1</v>
      </c>
      <c r="B74" s="39" t="s">
        <v>219</v>
      </c>
      <c r="C74" s="39" t="s">
        <v>220</v>
      </c>
      <c r="D74" s="47"/>
      <c r="E74" s="42"/>
      <c r="F74" s="43" t="s">
        <v>45</v>
      </c>
      <c r="G74" s="43" t="s">
        <v>45</v>
      </c>
      <c r="H74" s="43" t="s">
        <v>45</v>
      </c>
      <c r="I74" s="42"/>
      <c r="J74" s="43" t="s">
        <v>45</v>
      </c>
      <c r="K74" s="43" t="s">
        <v>45</v>
      </c>
      <c r="L74" s="43" t="s">
        <v>45</v>
      </c>
      <c r="M74" s="42"/>
      <c r="N74" s="43" t="s">
        <v>45</v>
      </c>
      <c r="O74" s="43" t="s">
        <v>45</v>
      </c>
      <c r="P74" s="43" t="s">
        <v>45</v>
      </c>
      <c r="Q74" s="42"/>
      <c r="R74" s="43" t="s">
        <v>45</v>
      </c>
      <c r="S74" s="43" t="s">
        <v>45</v>
      </c>
      <c r="T74" s="43" t="s">
        <v>45</v>
      </c>
      <c r="U74" s="42"/>
      <c r="V74" s="39" t="s">
        <v>221</v>
      </c>
      <c r="W74" s="47"/>
      <c r="X74" s="45">
        <v>162499</v>
      </c>
      <c r="Y74" s="70">
        <f t="shared" si="4"/>
        <v>81249500</v>
      </c>
      <c r="Z74" s="244">
        <v>46852097</v>
      </c>
      <c r="AA74" s="238">
        <f>53326560+13516086</f>
        <v>66842646</v>
      </c>
      <c r="AB74" s="296"/>
      <c r="AC74" s="47"/>
      <c r="AD74" s="31" t="s">
        <v>178</v>
      </c>
    </row>
    <row r="75" spans="1:30" ht="63.75" x14ac:dyDescent="0.2">
      <c r="A75" s="30">
        <f t="shared" si="5"/>
        <v>2</v>
      </c>
      <c r="B75" s="39" t="s">
        <v>222</v>
      </c>
      <c r="C75" s="39" t="s">
        <v>223</v>
      </c>
      <c r="D75" s="47"/>
      <c r="E75" s="42"/>
      <c r="F75" s="43" t="s">
        <v>45</v>
      </c>
      <c r="G75" s="43" t="s">
        <v>45</v>
      </c>
      <c r="H75" s="43" t="s">
        <v>45</v>
      </c>
      <c r="I75" s="42"/>
      <c r="J75" s="43" t="s">
        <v>45</v>
      </c>
      <c r="K75" s="43" t="s">
        <v>45</v>
      </c>
      <c r="L75" s="43" t="s">
        <v>45</v>
      </c>
      <c r="M75" s="42"/>
      <c r="N75" s="43" t="s">
        <v>45</v>
      </c>
      <c r="O75" s="43" t="s">
        <v>45</v>
      </c>
      <c r="P75" s="43" t="s">
        <v>45</v>
      </c>
      <c r="Q75" s="42"/>
      <c r="R75" s="43" t="s">
        <v>45</v>
      </c>
      <c r="S75" s="43" t="s">
        <v>45</v>
      </c>
      <c r="T75" s="43" t="s">
        <v>45</v>
      </c>
      <c r="U75" s="42"/>
      <c r="V75" s="39" t="s">
        <v>224</v>
      </c>
      <c r="W75" s="47"/>
      <c r="X75" s="45">
        <v>26337</v>
      </c>
      <c r="Y75" s="70">
        <f t="shared" si="4"/>
        <v>13168500</v>
      </c>
      <c r="Z75" s="244">
        <v>14314537</v>
      </c>
      <c r="AA75" s="238">
        <v>14500000</v>
      </c>
      <c r="AB75" s="47"/>
      <c r="AC75" s="47"/>
      <c r="AD75" s="31" t="s">
        <v>178</v>
      </c>
    </row>
    <row r="76" spans="1:30" ht="63.75" x14ac:dyDescent="0.2">
      <c r="A76" s="30">
        <f t="shared" si="5"/>
        <v>3</v>
      </c>
      <c r="B76" s="39" t="s">
        <v>225</v>
      </c>
      <c r="C76" s="39" t="s">
        <v>226</v>
      </c>
      <c r="D76" s="47"/>
      <c r="E76" s="42"/>
      <c r="F76" s="43" t="s">
        <v>45</v>
      </c>
      <c r="G76" s="43" t="s">
        <v>45</v>
      </c>
      <c r="H76" s="43" t="s">
        <v>45</v>
      </c>
      <c r="I76" s="42"/>
      <c r="J76" s="43" t="s">
        <v>45</v>
      </c>
      <c r="K76" s="43" t="s">
        <v>45</v>
      </c>
      <c r="L76" s="43" t="s">
        <v>45</v>
      </c>
      <c r="M76" s="42"/>
      <c r="N76" s="43" t="s">
        <v>45</v>
      </c>
      <c r="O76" s="43" t="s">
        <v>45</v>
      </c>
      <c r="P76" s="43" t="s">
        <v>45</v>
      </c>
      <c r="Q76" s="42"/>
      <c r="R76" s="43" t="s">
        <v>45</v>
      </c>
      <c r="S76" s="43" t="s">
        <v>45</v>
      </c>
      <c r="T76" s="43" t="s">
        <v>45</v>
      </c>
      <c r="U76" s="42"/>
      <c r="V76" s="39" t="s">
        <v>227</v>
      </c>
      <c r="W76" s="47"/>
      <c r="X76" s="45">
        <v>20574</v>
      </c>
      <c r="Y76" s="70">
        <f t="shared" si="4"/>
        <v>10287000</v>
      </c>
      <c r="Z76" s="244">
        <v>3604860</v>
      </c>
      <c r="AA76" s="238">
        <v>6682140</v>
      </c>
      <c r="AB76" s="47"/>
      <c r="AC76" s="47"/>
      <c r="AD76" s="31" t="s">
        <v>178</v>
      </c>
    </row>
    <row r="77" spans="1:30" ht="38.25" x14ac:dyDescent="0.2">
      <c r="A77" s="30">
        <f t="shared" si="5"/>
        <v>4</v>
      </c>
      <c r="B77" s="39" t="s">
        <v>532</v>
      </c>
      <c r="C77" s="39" t="s">
        <v>229</v>
      </c>
      <c r="D77" s="47"/>
      <c r="E77" s="42"/>
      <c r="F77" s="43"/>
      <c r="G77" s="43"/>
      <c r="H77" s="43" t="s">
        <v>45</v>
      </c>
      <c r="I77" s="42"/>
      <c r="J77" s="43" t="s">
        <v>45</v>
      </c>
      <c r="K77" s="43"/>
      <c r="L77" s="43"/>
      <c r="M77" s="42"/>
      <c r="N77" s="43"/>
      <c r="O77" s="43"/>
      <c r="P77" s="43"/>
      <c r="Q77" s="42"/>
      <c r="R77" s="43"/>
      <c r="S77" s="43"/>
      <c r="T77" s="43"/>
      <c r="U77" s="42"/>
      <c r="V77" s="39" t="s">
        <v>230</v>
      </c>
      <c r="W77" s="47"/>
      <c r="X77" s="45">
        <v>200</v>
      </c>
      <c r="Y77" s="70">
        <f t="shared" si="4"/>
        <v>100000</v>
      </c>
      <c r="Z77" s="244">
        <v>128250</v>
      </c>
      <c r="AA77" s="238">
        <v>130000</v>
      </c>
      <c r="AB77" s="47"/>
      <c r="AC77" s="47"/>
      <c r="AD77" s="31" t="s">
        <v>178</v>
      </c>
    </row>
    <row r="78" spans="1:30" ht="76.5" x14ac:dyDescent="0.2">
      <c r="A78" s="30">
        <f t="shared" si="5"/>
        <v>5</v>
      </c>
      <c r="B78" s="39" t="s">
        <v>231</v>
      </c>
      <c r="C78" s="39" t="s">
        <v>232</v>
      </c>
      <c r="D78" s="47"/>
      <c r="E78" s="42"/>
      <c r="F78" s="43" t="s">
        <v>45</v>
      </c>
      <c r="G78" s="43" t="s">
        <v>45</v>
      </c>
      <c r="H78" s="43" t="s">
        <v>45</v>
      </c>
      <c r="I78" s="42"/>
      <c r="J78" s="43" t="s">
        <v>45</v>
      </c>
      <c r="K78" s="43" t="s">
        <v>45</v>
      </c>
      <c r="L78" s="43" t="s">
        <v>45</v>
      </c>
      <c r="M78" s="42"/>
      <c r="N78" s="43" t="s">
        <v>45</v>
      </c>
      <c r="O78" s="43" t="s">
        <v>45</v>
      </c>
      <c r="P78" s="43" t="s">
        <v>45</v>
      </c>
      <c r="Q78" s="42"/>
      <c r="R78" s="43" t="s">
        <v>45</v>
      </c>
      <c r="S78" s="43" t="s">
        <v>45</v>
      </c>
      <c r="T78" s="43" t="s">
        <v>45</v>
      </c>
      <c r="U78" s="42"/>
      <c r="V78" s="39" t="s">
        <v>233</v>
      </c>
      <c r="W78" s="47"/>
      <c r="X78" s="45">
        <v>68000</v>
      </c>
      <c r="Y78" s="70">
        <f t="shared" si="4"/>
        <v>34000000</v>
      </c>
      <c r="Z78" s="244">
        <v>22121524</v>
      </c>
      <c r="AA78" s="238">
        <v>19610000</v>
      </c>
      <c r="AB78" s="47"/>
      <c r="AC78" s="47"/>
      <c r="AD78" s="31" t="s">
        <v>178</v>
      </c>
    </row>
    <row r="79" spans="1:30" ht="38.25" x14ac:dyDescent="0.2">
      <c r="A79" s="265">
        <f t="shared" si="5"/>
        <v>6</v>
      </c>
      <c r="B79" s="266" t="s">
        <v>234</v>
      </c>
      <c r="C79" s="267" t="s">
        <v>235</v>
      </c>
      <c r="D79" s="268"/>
      <c r="E79" s="269"/>
      <c r="F79" s="270"/>
      <c r="G79" s="270"/>
      <c r="H79" s="270"/>
      <c r="I79" s="269"/>
      <c r="J79" s="270"/>
      <c r="K79" s="270"/>
      <c r="L79" s="270" t="s">
        <v>236</v>
      </c>
      <c r="M79" s="269"/>
      <c r="N79" s="270"/>
      <c r="O79" s="270"/>
      <c r="P79" s="270"/>
      <c r="Q79" s="269"/>
      <c r="R79" s="270"/>
      <c r="S79" s="270"/>
      <c r="T79" s="270"/>
      <c r="U79" s="269"/>
      <c r="V79" s="271" t="s">
        <v>237</v>
      </c>
      <c r="W79" s="268"/>
      <c r="X79" s="272">
        <v>12000</v>
      </c>
      <c r="Y79" s="273">
        <f t="shared" si="4"/>
        <v>6000000</v>
      </c>
      <c r="Z79" s="274"/>
      <c r="AA79" s="275">
        <v>2500000</v>
      </c>
      <c r="AB79" s="268"/>
      <c r="AC79" s="268"/>
      <c r="AD79" s="276"/>
    </row>
    <row r="80" spans="1:30" ht="51" x14ac:dyDescent="0.2">
      <c r="A80" s="277"/>
      <c r="B80" s="278" t="s">
        <v>112</v>
      </c>
      <c r="C80" s="278" t="s">
        <v>112</v>
      </c>
      <c r="D80" s="279" t="s">
        <v>113</v>
      </c>
      <c r="E80" s="280"/>
      <c r="F80" s="281"/>
      <c r="G80" s="281" t="s">
        <v>45</v>
      </c>
      <c r="H80" s="281" t="s">
        <v>45</v>
      </c>
      <c r="I80" s="280" t="s">
        <v>45</v>
      </c>
      <c r="J80" s="281"/>
      <c r="K80" s="281" t="s">
        <v>45</v>
      </c>
      <c r="L80" s="281" t="s">
        <v>45</v>
      </c>
      <c r="M80" s="280" t="s">
        <v>45</v>
      </c>
      <c r="N80" s="281"/>
      <c r="O80" s="281" t="s">
        <v>45</v>
      </c>
      <c r="P80" s="281" t="s">
        <v>45</v>
      </c>
      <c r="Q80" s="280" t="s">
        <v>45</v>
      </c>
      <c r="R80" s="281"/>
      <c r="S80" s="281" t="s">
        <v>45</v>
      </c>
      <c r="T80" s="281" t="s">
        <v>45</v>
      </c>
      <c r="U80" s="280" t="s">
        <v>45</v>
      </c>
      <c r="V80" s="278" t="s">
        <v>114</v>
      </c>
      <c r="W80" s="282"/>
      <c r="X80" s="283"/>
      <c r="Y80" s="284"/>
      <c r="Z80" s="285"/>
      <c r="AA80" s="286">
        <v>17000000</v>
      </c>
      <c r="AB80" s="47"/>
      <c r="AC80" s="47"/>
      <c r="AD80" s="31"/>
    </row>
    <row r="81" spans="1:31" x14ac:dyDescent="0.2">
      <c r="A81" s="30"/>
      <c r="B81" s="329" t="s">
        <v>238</v>
      </c>
      <c r="C81" s="330"/>
      <c r="D81" s="330"/>
      <c r="E81" s="330"/>
      <c r="F81" s="330"/>
      <c r="G81" s="330"/>
      <c r="H81" s="330"/>
      <c r="I81" s="330"/>
      <c r="J81" s="330"/>
      <c r="K81" s="330"/>
      <c r="L81" s="330"/>
      <c r="M81" s="330"/>
      <c r="N81" s="330"/>
      <c r="O81" s="330"/>
      <c r="P81" s="330"/>
      <c r="Q81" s="330"/>
      <c r="R81" s="330"/>
      <c r="S81" s="330"/>
      <c r="T81" s="330"/>
      <c r="U81" s="330"/>
      <c r="V81" s="330"/>
      <c r="W81" s="330"/>
      <c r="X81" s="330"/>
      <c r="Y81" s="330"/>
      <c r="Z81" s="330"/>
      <c r="AA81" s="330"/>
      <c r="AB81" s="330"/>
      <c r="AC81" s="330"/>
      <c r="AD81" s="331"/>
    </row>
    <row r="82" spans="1:31" s="232" customFormat="1" ht="13.5" x14ac:dyDescent="0.2">
      <c r="A82" s="30"/>
      <c r="B82" s="326" t="s">
        <v>239</v>
      </c>
      <c r="C82" s="327"/>
      <c r="D82" s="327"/>
      <c r="E82" s="327"/>
      <c r="F82" s="327"/>
      <c r="G82" s="327"/>
      <c r="H82" s="327"/>
      <c r="I82" s="327"/>
      <c r="J82" s="327"/>
      <c r="K82" s="327"/>
      <c r="L82" s="327"/>
      <c r="M82" s="327"/>
      <c r="N82" s="327"/>
      <c r="O82" s="327"/>
      <c r="P82" s="327"/>
      <c r="Q82" s="327"/>
      <c r="R82" s="327"/>
      <c r="S82" s="327"/>
      <c r="T82" s="327"/>
      <c r="U82" s="327"/>
      <c r="V82" s="327"/>
      <c r="W82" s="327"/>
      <c r="X82" s="327"/>
      <c r="Y82" s="327"/>
      <c r="Z82" s="327"/>
      <c r="AA82" s="327"/>
      <c r="AB82" s="327"/>
      <c r="AC82" s="327"/>
      <c r="AD82" s="328"/>
      <c r="AE82" s="27"/>
    </row>
    <row r="83" spans="1:31" ht="63.75" x14ac:dyDescent="0.2">
      <c r="A83" s="49">
        <f>+A82+1</f>
        <v>1</v>
      </c>
      <c r="B83" s="50" t="s">
        <v>240</v>
      </c>
      <c r="C83" s="295" t="s">
        <v>521</v>
      </c>
      <c r="D83" s="49"/>
      <c r="E83" s="291"/>
      <c r="F83" s="292"/>
      <c r="G83" s="292"/>
      <c r="H83" s="292"/>
      <c r="I83" s="291"/>
      <c r="J83" s="292"/>
      <c r="K83" s="292"/>
      <c r="L83" s="292"/>
      <c r="M83" s="291"/>
      <c r="N83" s="292"/>
      <c r="O83" s="292"/>
      <c r="P83" s="292"/>
      <c r="Q83" s="291"/>
      <c r="R83" s="292" t="s">
        <v>45</v>
      </c>
      <c r="S83" s="292" t="s">
        <v>45</v>
      </c>
      <c r="T83" s="292" t="s">
        <v>45</v>
      </c>
      <c r="U83" s="291"/>
      <c r="V83" s="50" t="s">
        <v>242</v>
      </c>
      <c r="W83" s="49"/>
      <c r="X83" s="293">
        <v>60000</v>
      </c>
      <c r="Y83" s="294">
        <f t="shared" ref="Y83:Y101" si="6">+X83*$X$2</f>
        <v>30000000</v>
      </c>
      <c r="Z83" s="245"/>
      <c r="AA83" s="238">
        <v>0</v>
      </c>
      <c r="AB83" s="30"/>
      <c r="AC83" s="30"/>
      <c r="AD83" s="31" t="s">
        <v>178</v>
      </c>
    </row>
    <row r="84" spans="1:31" ht="140.25" x14ac:dyDescent="0.2">
      <c r="A84" s="30">
        <f>+A83+1</f>
        <v>2</v>
      </c>
      <c r="B84" s="50" t="s">
        <v>519</v>
      </c>
      <c r="C84" s="50" t="s">
        <v>518</v>
      </c>
      <c r="D84" s="49"/>
      <c r="E84" s="291"/>
      <c r="F84" s="292" t="s">
        <v>45</v>
      </c>
      <c r="G84" s="292" t="s">
        <v>45</v>
      </c>
      <c r="H84" s="292" t="s">
        <v>45</v>
      </c>
      <c r="I84" s="291"/>
      <c r="J84" s="292"/>
      <c r="K84" s="292"/>
      <c r="L84" s="292"/>
      <c r="M84" s="291"/>
      <c r="N84" s="292"/>
      <c r="O84" s="292"/>
      <c r="P84" s="292"/>
      <c r="Q84" s="291"/>
      <c r="R84" s="292"/>
      <c r="S84" s="292"/>
      <c r="T84" s="292"/>
      <c r="U84" s="291"/>
      <c r="V84" s="50" t="s">
        <v>520</v>
      </c>
      <c r="W84" s="49"/>
      <c r="X84" s="293">
        <v>22000</v>
      </c>
      <c r="Y84" s="294">
        <f t="shared" si="6"/>
        <v>11000000</v>
      </c>
      <c r="Z84" s="297"/>
      <c r="AA84" s="298">
        <v>0</v>
      </c>
      <c r="AB84" s="30"/>
      <c r="AC84" s="30"/>
      <c r="AD84" s="31" t="s">
        <v>178</v>
      </c>
    </row>
    <row r="85" spans="1:31" ht="114.75" x14ac:dyDescent="0.2">
      <c r="A85" s="30">
        <f>+A84+1</f>
        <v>3</v>
      </c>
      <c r="B85" s="31" t="s">
        <v>243</v>
      </c>
      <c r="C85" s="31" t="s">
        <v>244</v>
      </c>
      <c r="D85" s="30"/>
      <c r="E85" s="42"/>
      <c r="F85" s="43" t="s">
        <v>45</v>
      </c>
      <c r="G85" s="43" t="s">
        <v>45</v>
      </c>
      <c r="H85" s="43" t="s">
        <v>45</v>
      </c>
      <c r="I85" s="42"/>
      <c r="J85" s="43" t="s">
        <v>45</v>
      </c>
      <c r="K85" s="43" t="s">
        <v>45</v>
      </c>
      <c r="L85" s="43" t="s">
        <v>45</v>
      </c>
      <c r="M85" s="42"/>
      <c r="N85" s="43" t="s">
        <v>45</v>
      </c>
      <c r="O85" s="43" t="s">
        <v>45</v>
      </c>
      <c r="P85" s="43" t="s">
        <v>45</v>
      </c>
      <c r="Q85" s="42"/>
      <c r="R85" s="43" t="s">
        <v>45</v>
      </c>
      <c r="S85" s="43" t="s">
        <v>45</v>
      </c>
      <c r="T85" s="43" t="s">
        <v>45</v>
      </c>
      <c r="U85" s="42"/>
      <c r="V85" s="39" t="s">
        <v>245</v>
      </c>
      <c r="W85" s="30"/>
      <c r="X85" s="45">
        <v>10000</v>
      </c>
      <c r="Y85" s="70">
        <f t="shared" si="6"/>
        <v>5000000</v>
      </c>
      <c r="AA85" s="238">
        <v>5000000</v>
      </c>
      <c r="AB85" s="30"/>
      <c r="AC85" s="30"/>
      <c r="AD85" s="31" t="s">
        <v>178</v>
      </c>
    </row>
    <row r="86" spans="1:31" ht="76.5" x14ac:dyDescent="0.2">
      <c r="A86" s="49">
        <f t="shared" ref="A86:A91" si="7">+A85+1</f>
        <v>4</v>
      </c>
      <c r="B86" s="290" t="s">
        <v>246</v>
      </c>
      <c r="C86" s="290" t="s">
        <v>247</v>
      </c>
      <c r="D86" s="49"/>
      <c r="E86" s="291"/>
      <c r="F86" s="292"/>
      <c r="G86" s="292"/>
      <c r="H86" s="292" t="s">
        <v>45</v>
      </c>
      <c r="I86" s="291"/>
      <c r="J86" s="292"/>
      <c r="K86" s="292"/>
      <c r="L86" s="292"/>
      <c r="M86" s="291"/>
      <c r="N86" s="292"/>
      <c r="O86" s="292"/>
      <c r="P86" s="292"/>
      <c r="Q86" s="291"/>
      <c r="R86" s="292"/>
      <c r="S86" s="292"/>
      <c r="T86" s="292"/>
      <c r="U86" s="291"/>
      <c r="V86" s="50" t="s">
        <v>248</v>
      </c>
      <c r="W86" s="49"/>
      <c r="X86" s="293">
        <v>38600</v>
      </c>
      <c r="Y86" s="294">
        <f t="shared" si="6"/>
        <v>19300000</v>
      </c>
      <c r="Z86" s="245">
        <v>19300000</v>
      </c>
      <c r="AA86" s="238">
        <v>0</v>
      </c>
      <c r="AB86" s="30"/>
      <c r="AC86" s="30"/>
      <c r="AD86" s="31" t="s">
        <v>178</v>
      </c>
    </row>
    <row r="87" spans="1:31" ht="76.5" x14ac:dyDescent="0.2">
      <c r="A87" s="30">
        <f t="shared" si="7"/>
        <v>5</v>
      </c>
      <c r="B87" s="31" t="s">
        <v>249</v>
      </c>
      <c r="C87" s="31" t="s">
        <v>250</v>
      </c>
      <c r="D87" s="30"/>
      <c r="E87" s="42"/>
      <c r="F87" s="43"/>
      <c r="G87" s="43" t="s">
        <v>45</v>
      </c>
      <c r="H87" s="43" t="s">
        <v>45</v>
      </c>
      <c r="I87" s="42"/>
      <c r="J87" s="43" t="s">
        <v>45</v>
      </c>
      <c r="K87" s="43"/>
      <c r="L87" s="43"/>
      <c r="M87" s="42"/>
      <c r="N87" s="43"/>
      <c r="O87" s="43"/>
      <c r="P87" s="43"/>
      <c r="Q87" s="42"/>
      <c r="R87" s="43"/>
      <c r="S87" s="43"/>
      <c r="T87" s="43"/>
      <c r="U87" s="42"/>
      <c r="V87" s="39" t="s">
        <v>251</v>
      </c>
      <c r="W87" s="30"/>
      <c r="X87" s="46">
        <v>30000</v>
      </c>
      <c r="Y87" s="70">
        <f t="shared" si="6"/>
        <v>15000000</v>
      </c>
      <c r="Z87" s="245">
        <v>1225000</v>
      </c>
      <c r="AA87" s="238">
        <v>35000000</v>
      </c>
      <c r="AB87" s="30"/>
      <c r="AC87" s="30"/>
      <c r="AD87" s="31" t="s">
        <v>178</v>
      </c>
    </row>
    <row r="88" spans="1:31" ht="102" x14ac:dyDescent="0.2">
      <c r="A88" s="30">
        <f t="shared" si="7"/>
        <v>6</v>
      </c>
      <c r="B88" s="31" t="s">
        <v>252</v>
      </c>
      <c r="C88" s="31" t="s">
        <v>253</v>
      </c>
      <c r="D88" s="30"/>
      <c r="E88" s="42"/>
      <c r="F88" s="43" t="s">
        <v>45</v>
      </c>
      <c r="G88" s="43" t="s">
        <v>45</v>
      </c>
      <c r="H88" s="43" t="s">
        <v>45</v>
      </c>
      <c r="I88" s="42"/>
      <c r="J88" s="43" t="s">
        <v>45</v>
      </c>
      <c r="K88" s="43" t="s">
        <v>45</v>
      </c>
      <c r="L88" s="43" t="s">
        <v>45</v>
      </c>
      <c r="M88" s="42"/>
      <c r="N88" s="43"/>
      <c r="O88" s="43"/>
      <c r="P88" s="43"/>
      <c r="Q88" s="42"/>
      <c r="R88" s="43"/>
      <c r="S88" s="43"/>
      <c r="T88" s="43"/>
      <c r="U88" s="42"/>
      <c r="V88" s="31" t="s">
        <v>254</v>
      </c>
      <c r="W88" s="30"/>
      <c r="X88" s="46">
        <v>10000</v>
      </c>
      <c r="Y88" s="70">
        <f t="shared" si="6"/>
        <v>5000000</v>
      </c>
      <c r="Z88" s="245"/>
      <c r="AA88" s="238"/>
      <c r="AB88" s="30"/>
      <c r="AC88" s="30"/>
      <c r="AD88" s="31" t="s">
        <v>255</v>
      </c>
    </row>
    <row r="89" spans="1:31" ht="357" x14ac:dyDescent="0.2">
      <c r="A89" s="30">
        <f t="shared" si="7"/>
        <v>7</v>
      </c>
      <c r="B89" s="31" t="s">
        <v>256</v>
      </c>
      <c r="C89" s="31" t="s">
        <v>257</v>
      </c>
      <c r="D89" s="30"/>
      <c r="E89" s="42"/>
      <c r="F89" s="43" t="s">
        <v>45</v>
      </c>
      <c r="G89" s="43" t="s">
        <v>45</v>
      </c>
      <c r="H89" s="43" t="s">
        <v>45</v>
      </c>
      <c r="I89" s="42"/>
      <c r="J89" s="43" t="s">
        <v>45</v>
      </c>
      <c r="K89" s="43" t="s">
        <v>45</v>
      </c>
      <c r="L89" s="43" t="s">
        <v>45</v>
      </c>
      <c r="M89" s="42"/>
      <c r="N89" s="43"/>
      <c r="O89" s="43"/>
      <c r="P89" s="43"/>
      <c r="Q89" s="42"/>
      <c r="R89" s="43"/>
      <c r="S89" s="43"/>
      <c r="T89" s="43"/>
      <c r="U89" s="42"/>
      <c r="V89" s="31" t="s">
        <v>258</v>
      </c>
      <c r="W89" s="30"/>
      <c r="X89" s="46">
        <v>45000</v>
      </c>
      <c r="Y89" s="70">
        <f t="shared" si="6"/>
        <v>22500000</v>
      </c>
      <c r="Z89" s="245">
        <v>230000</v>
      </c>
      <c r="AA89" s="238"/>
      <c r="AB89" s="30"/>
      <c r="AC89" s="30"/>
      <c r="AD89" s="31" t="s">
        <v>255</v>
      </c>
    </row>
    <row r="90" spans="1:31" ht="267.75" x14ac:dyDescent="0.2">
      <c r="A90" s="30">
        <f t="shared" si="7"/>
        <v>8</v>
      </c>
      <c r="B90" s="31" t="s">
        <v>259</v>
      </c>
      <c r="C90" s="31" t="s">
        <v>260</v>
      </c>
      <c r="D90" s="30"/>
      <c r="E90" s="42"/>
      <c r="F90" s="43" t="s">
        <v>45</v>
      </c>
      <c r="G90" s="43" t="s">
        <v>45</v>
      </c>
      <c r="H90" s="43" t="s">
        <v>45</v>
      </c>
      <c r="I90" s="42"/>
      <c r="J90" s="43" t="s">
        <v>45</v>
      </c>
      <c r="K90" s="43" t="s">
        <v>45</v>
      </c>
      <c r="L90" s="43" t="s">
        <v>45</v>
      </c>
      <c r="M90" s="42"/>
      <c r="N90" s="43"/>
      <c r="O90" s="43"/>
      <c r="P90" s="43"/>
      <c r="Q90" s="42"/>
      <c r="R90" s="43"/>
      <c r="S90" s="43"/>
      <c r="T90" s="43"/>
      <c r="U90" s="42"/>
      <c r="V90" s="31" t="s">
        <v>261</v>
      </c>
      <c r="W90" s="30"/>
      <c r="X90" s="46">
        <v>15000</v>
      </c>
      <c r="Y90" s="70">
        <f t="shared" si="6"/>
        <v>7500000</v>
      </c>
      <c r="Z90" s="245"/>
      <c r="AA90" s="238"/>
      <c r="AB90" s="30"/>
      <c r="AC90" s="30"/>
      <c r="AD90" s="31" t="s">
        <v>255</v>
      </c>
    </row>
    <row r="91" spans="1:31" ht="114.75" x14ac:dyDescent="0.2">
      <c r="A91" s="30">
        <f t="shared" si="7"/>
        <v>9</v>
      </c>
      <c r="B91" s="31" t="s">
        <v>262</v>
      </c>
      <c r="C91" s="31" t="s">
        <v>263</v>
      </c>
      <c r="D91" s="30"/>
      <c r="E91" s="42"/>
      <c r="F91" s="43" t="s">
        <v>45</v>
      </c>
      <c r="G91" s="43" t="s">
        <v>45</v>
      </c>
      <c r="H91" s="43" t="s">
        <v>45</v>
      </c>
      <c r="I91" s="42"/>
      <c r="J91" s="43" t="s">
        <v>45</v>
      </c>
      <c r="K91" s="43" t="s">
        <v>45</v>
      </c>
      <c r="L91" s="43" t="s">
        <v>45</v>
      </c>
      <c r="M91" s="42"/>
      <c r="N91" s="43"/>
      <c r="O91" s="43"/>
      <c r="P91" s="43"/>
      <c r="Q91" s="42"/>
      <c r="R91" s="43"/>
      <c r="S91" s="43"/>
      <c r="T91" s="43"/>
      <c r="U91" s="42"/>
      <c r="V91" s="31" t="s">
        <v>264</v>
      </c>
      <c r="W91" s="30"/>
      <c r="X91" s="46">
        <v>30000</v>
      </c>
      <c r="Y91" s="70">
        <f t="shared" si="6"/>
        <v>15000000</v>
      </c>
      <c r="Z91" s="253"/>
      <c r="AA91" s="238"/>
      <c r="AB91" s="30"/>
      <c r="AC91" s="30"/>
      <c r="AD91" s="31" t="s">
        <v>178</v>
      </c>
    </row>
    <row r="92" spans="1:31" ht="13.5" x14ac:dyDescent="0.2">
      <c r="A92" s="30"/>
      <c r="B92" s="318" t="s">
        <v>265</v>
      </c>
      <c r="C92" s="318"/>
      <c r="D92" s="318"/>
      <c r="E92" s="318"/>
      <c r="F92" s="318"/>
      <c r="G92" s="318"/>
      <c r="H92" s="318"/>
      <c r="I92" s="318"/>
      <c r="J92" s="318"/>
      <c r="K92" s="318"/>
      <c r="L92" s="318"/>
      <c r="M92" s="318"/>
      <c r="N92" s="318"/>
      <c r="O92" s="318"/>
      <c r="P92" s="318"/>
      <c r="Q92" s="318"/>
      <c r="R92" s="318"/>
      <c r="S92" s="318"/>
      <c r="T92" s="318"/>
      <c r="U92" s="318"/>
      <c r="V92" s="318"/>
      <c r="W92" s="318"/>
      <c r="X92" s="318"/>
      <c r="Y92" s="318"/>
      <c r="Z92" s="318"/>
      <c r="AA92" s="318"/>
      <c r="AB92" s="318"/>
      <c r="AC92" s="318"/>
      <c r="AD92" s="318"/>
    </row>
    <row r="93" spans="1:31" ht="51" x14ac:dyDescent="0.2">
      <c r="A93" s="30">
        <f>1</f>
        <v>1</v>
      </c>
      <c r="B93" s="39" t="s">
        <v>266</v>
      </c>
      <c r="C93" s="41" t="s">
        <v>267</v>
      </c>
      <c r="D93" s="30"/>
      <c r="E93" s="42"/>
      <c r="F93" s="31" t="s">
        <v>45</v>
      </c>
      <c r="G93" s="31" t="s">
        <v>45</v>
      </c>
      <c r="H93" s="31" t="s">
        <v>45</v>
      </c>
      <c r="I93" s="42"/>
      <c r="J93" s="31" t="s">
        <v>45</v>
      </c>
      <c r="K93" s="31" t="s">
        <v>45</v>
      </c>
      <c r="L93" s="31" t="s">
        <v>45</v>
      </c>
      <c r="M93" s="42"/>
      <c r="N93" s="43" t="s">
        <v>45</v>
      </c>
      <c r="O93" s="43" t="s">
        <v>45</v>
      </c>
      <c r="P93" s="43" t="s">
        <v>45</v>
      </c>
      <c r="Q93" s="42"/>
      <c r="R93" s="43" t="s">
        <v>45</v>
      </c>
      <c r="S93" s="43" t="s">
        <v>45</v>
      </c>
      <c r="T93" s="43" t="s">
        <v>45</v>
      </c>
      <c r="U93" s="42"/>
      <c r="V93" s="39" t="s">
        <v>268</v>
      </c>
      <c r="W93" s="30"/>
      <c r="X93" s="45">
        <v>1000</v>
      </c>
      <c r="Y93" s="70">
        <f t="shared" si="6"/>
        <v>500000</v>
      </c>
      <c r="Z93" s="254">
        <v>0</v>
      </c>
      <c r="AA93" s="252">
        <v>400000</v>
      </c>
      <c r="AB93" s="30"/>
      <c r="AC93" s="30"/>
      <c r="AD93" s="31" t="s">
        <v>269</v>
      </c>
    </row>
    <row r="94" spans="1:31" ht="51" x14ac:dyDescent="0.2">
      <c r="A94" s="30">
        <f>+A93+1</f>
        <v>2</v>
      </c>
      <c r="B94" s="39" t="s">
        <v>270</v>
      </c>
      <c r="C94" s="39" t="s">
        <v>271</v>
      </c>
      <c r="D94" s="30"/>
      <c r="E94" s="42"/>
      <c r="F94" s="31"/>
      <c r="G94" s="31"/>
      <c r="H94" s="31"/>
      <c r="I94" s="42"/>
      <c r="J94" s="43"/>
      <c r="K94" s="43"/>
      <c r="L94" s="43"/>
      <c r="M94" s="42"/>
      <c r="N94" s="43"/>
      <c r="O94" s="43"/>
      <c r="P94" s="43" t="s">
        <v>45</v>
      </c>
      <c r="Q94" s="42"/>
      <c r="R94" s="43" t="s">
        <v>45</v>
      </c>
      <c r="S94" s="43"/>
      <c r="T94" s="43"/>
      <c r="U94" s="42"/>
      <c r="V94" s="39" t="s">
        <v>272</v>
      </c>
      <c r="W94" s="30"/>
      <c r="X94" s="45">
        <v>3000</v>
      </c>
      <c r="Y94" s="70">
        <f t="shared" si="6"/>
        <v>1500000</v>
      </c>
      <c r="Z94" s="254">
        <v>0</v>
      </c>
      <c r="AA94" s="252">
        <v>1000000</v>
      </c>
      <c r="AB94" s="30"/>
      <c r="AC94" s="30"/>
      <c r="AD94" s="31" t="s">
        <v>269</v>
      </c>
    </row>
    <row r="95" spans="1:31" ht="13.5" x14ac:dyDescent="0.2">
      <c r="A95" s="30"/>
      <c r="B95" s="318" t="s">
        <v>273</v>
      </c>
      <c r="C95" s="318"/>
      <c r="D95" s="318"/>
      <c r="E95" s="318"/>
      <c r="F95" s="318"/>
      <c r="G95" s="318"/>
      <c r="H95" s="318"/>
      <c r="I95" s="318"/>
      <c r="J95" s="318"/>
      <c r="K95" s="318"/>
      <c r="L95" s="318"/>
      <c r="M95" s="318"/>
      <c r="N95" s="318"/>
      <c r="O95" s="318"/>
      <c r="P95" s="318"/>
      <c r="Q95" s="318"/>
      <c r="R95" s="318"/>
      <c r="S95" s="318"/>
      <c r="T95" s="318"/>
      <c r="U95" s="318"/>
      <c r="V95" s="318"/>
      <c r="W95" s="318"/>
      <c r="X95" s="318"/>
      <c r="Y95" s="318"/>
      <c r="Z95" s="318"/>
      <c r="AA95" s="318"/>
      <c r="AB95" s="318"/>
      <c r="AC95" s="318"/>
      <c r="AD95" s="318"/>
    </row>
    <row r="96" spans="1:31" ht="76.5" x14ac:dyDescent="0.2">
      <c r="A96" s="30">
        <f>1</f>
        <v>1</v>
      </c>
      <c r="B96" s="50" t="s">
        <v>274</v>
      </c>
      <c r="C96" s="295" t="s">
        <v>275</v>
      </c>
      <c r="D96" s="49"/>
      <c r="E96" s="291"/>
      <c r="F96" s="292"/>
      <c r="G96" s="292"/>
      <c r="H96" s="292"/>
      <c r="I96" s="291"/>
      <c r="J96" s="292"/>
      <c r="K96" s="292"/>
      <c r="L96" s="292"/>
      <c r="M96" s="291"/>
      <c r="N96" s="292" t="s">
        <v>45</v>
      </c>
      <c r="O96" s="292" t="s">
        <v>45</v>
      </c>
      <c r="P96" s="292" t="s">
        <v>45</v>
      </c>
      <c r="Q96" s="291"/>
      <c r="R96" s="292"/>
      <c r="S96" s="292"/>
      <c r="T96" s="292"/>
      <c r="U96" s="291"/>
      <c r="V96" s="290" t="s">
        <v>276</v>
      </c>
      <c r="W96" s="49"/>
      <c r="X96" s="51">
        <v>21566</v>
      </c>
      <c r="Y96" s="294">
        <f t="shared" si="6"/>
        <v>10783000</v>
      </c>
      <c r="Z96" s="299"/>
      <c r="AA96" s="300"/>
      <c r="AB96" s="30"/>
      <c r="AC96" s="30"/>
      <c r="AD96" s="31" t="s">
        <v>269</v>
      </c>
    </row>
    <row r="97" spans="1:30" ht="76.5" x14ac:dyDescent="0.2">
      <c r="A97" s="30">
        <f t="shared" ref="A97:A112" si="8">+A96+1</f>
        <v>2</v>
      </c>
      <c r="B97" s="39" t="s">
        <v>277</v>
      </c>
      <c r="C97" s="41" t="s">
        <v>278</v>
      </c>
      <c r="D97" s="30"/>
      <c r="E97" s="42"/>
      <c r="F97" s="43"/>
      <c r="G97" s="43"/>
      <c r="H97" s="43"/>
      <c r="I97" s="42"/>
      <c r="J97" s="43"/>
      <c r="K97" s="43"/>
      <c r="L97" s="43"/>
      <c r="M97" s="42"/>
      <c r="N97" s="43"/>
      <c r="O97" s="43" t="s">
        <v>45</v>
      </c>
      <c r="P97" s="43"/>
      <c r="Q97" s="42"/>
      <c r="R97" s="43"/>
      <c r="S97" s="43"/>
      <c r="T97" s="43"/>
      <c r="U97" s="42"/>
      <c r="V97" s="31" t="s">
        <v>279</v>
      </c>
      <c r="W97" s="30"/>
      <c r="X97" s="45">
        <v>13000</v>
      </c>
      <c r="Y97" s="70">
        <f t="shared" si="6"/>
        <v>6500000</v>
      </c>
      <c r="Z97" s="253">
        <v>6888602</v>
      </c>
      <c r="AA97" s="238">
        <v>7000000</v>
      </c>
      <c r="AB97" s="30"/>
      <c r="AC97" s="30"/>
      <c r="AD97" s="31" t="s">
        <v>269</v>
      </c>
    </row>
    <row r="98" spans="1:30" ht="102" x14ac:dyDescent="0.2">
      <c r="A98" s="30">
        <f t="shared" si="8"/>
        <v>3</v>
      </c>
      <c r="B98" s="39" t="s">
        <v>280</v>
      </c>
      <c r="C98" s="41" t="s">
        <v>281</v>
      </c>
      <c r="D98" s="41"/>
      <c r="E98" s="42"/>
      <c r="F98" s="43"/>
      <c r="G98" s="43"/>
      <c r="H98" s="43"/>
      <c r="I98" s="42"/>
      <c r="J98" s="43" t="s">
        <v>45</v>
      </c>
      <c r="K98" s="43" t="s">
        <v>45</v>
      </c>
      <c r="L98" s="43" t="s">
        <v>45</v>
      </c>
      <c r="M98" s="42"/>
      <c r="N98" s="43"/>
      <c r="O98" s="43"/>
      <c r="P98" s="43"/>
      <c r="Q98" s="42"/>
      <c r="R98" s="43"/>
      <c r="S98" s="43"/>
      <c r="T98" s="43"/>
      <c r="U98" s="42"/>
      <c r="V98" s="31" t="s">
        <v>282</v>
      </c>
      <c r="W98" s="30"/>
      <c r="X98" s="45">
        <v>4000</v>
      </c>
      <c r="Y98" s="70">
        <f t="shared" si="6"/>
        <v>2000000</v>
      </c>
      <c r="Z98" s="253"/>
      <c r="AA98" s="238">
        <v>1000000</v>
      </c>
      <c r="AB98" s="30"/>
      <c r="AC98" s="30"/>
      <c r="AD98" s="31" t="s">
        <v>283</v>
      </c>
    </row>
    <row r="99" spans="1:30" ht="153" x14ac:dyDescent="0.2">
      <c r="A99" s="277">
        <v>4</v>
      </c>
      <c r="B99" s="278" t="s">
        <v>531</v>
      </c>
      <c r="C99" s="287" t="s">
        <v>534</v>
      </c>
      <c r="D99" s="287"/>
      <c r="E99" s="277"/>
      <c r="F99" s="281"/>
      <c r="G99" s="281"/>
      <c r="H99" s="281"/>
      <c r="I99" s="277"/>
      <c r="J99" s="281"/>
      <c r="K99" s="281"/>
      <c r="L99" s="281"/>
      <c r="M99" s="277"/>
      <c r="N99" s="281"/>
      <c r="O99" s="281"/>
      <c r="P99" s="281"/>
      <c r="Q99" s="277"/>
      <c r="R99" s="281"/>
      <c r="S99" s="281"/>
      <c r="T99" s="281"/>
      <c r="U99" s="277"/>
      <c r="V99" s="288" t="s">
        <v>533</v>
      </c>
      <c r="W99" s="277"/>
      <c r="X99" s="283"/>
      <c r="Y99" s="284"/>
      <c r="Z99" s="289"/>
      <c r="AA99" s="289">
        <v>40000000</v>
      </c>
      <c r="AB99" s="30"/>
      <c r="AC99" s="30"/>
      <c r="AD99" s="31"/>
    </row>
    <row r="100" spans="1:30" ht="13.5" x14ac:dyDescent="0.2">
      <c r="A100" s="30"/>
      <c r="B100" s="318" t="s">
        <v>284</v>
      </c>
      <c r="C100" s="318"/>
      <c r="D100" s="318"/>
      <c r="E100" s="318"/>
      <c r="F100" s="318"/>
      <c r="G100" s="318"/>
      <c r="H100" s="318"/>
      <c r="I100" s="318"/>
      <c r="J100" s="318"/>
      <c r="K100" s="318"/>
      <c r="L100" s="318"/>
      <c r="M100" s="318"/>
      <c r="N100" s="318"/>
      <c r="O100" s="318"/>
      <c r="P100" s="318"/>
      <c r="Q100" s="318"/>
      <c r="R100" s="318"/>
      <c r="S100" s="318"/>
      <c r="T100" s="318"/>
      <c r="U100" s="318"/>
      <c r="V100" s="318"/>
      <c r="W100" s="318"/>
      <c r="X100" s="318"/>
      <c r="Y100" s="318"/>
      <c r="Z100" s="318"/>
      <c r="AA100" s="318"/>
      <c r="AB100" s="318"/>
      <c r="AC100" s="318"/>
      <c r="AD100" s="318"/>
    </row>
    <row r="101" spans="1:30" ht="204" x14ac:dyDescent="0.2">
      <c r="A101" s="30">
        <f>1</f>
        <v>1</v>
      </c>
      <c r="B101" s="290" t="s">
        <v>285</v>
      </c>
      <c r="C101" s="290" t="s">
        <v>286</v>
      </c>
      <c r="D101" s="49"/>
      <c r="E101" s="291"/>
      <c r="F101" s="292" t="s">
        <v>45</v>
      </c>
      <c r="G101" s="292" t="s">
        <v>45</v>
      </c>
      <c r="H101" s="292" t="s">
        <v>45</v>
      </c>
      <c r="I101" s="291"/>
      <c r="J101" s="292" t="s">
        <v>45</v>
      </c>
      <c r="K101" s="292" t="s">
        <v>45</v>
      </c>
      <c r="L101" s="292" t="s">
        <v>45</v>
      </c>
      <c r="M101" s="291"/>
      <c r="N101" s="292" t="s">
        <v>45</v>
      </c>
      <c r="O101" s="292" t="s">
        <v>45</v>
      </c>
      <c r="P101" s="292" t="s">
        <v>45</v>
      </c>
      <c r="Q101" s="291"/>
      <c r="R101" s="292" t="s">
        <v>45</v>
      </c>
      <c r="S101" s="292" t="s">
        <v>45</v>
      </c>
      <c r="T101" s="292" t="s">
        <v>45</v>
      </c>
      <c r="U101" s="291"/>
      <c r="V101" s="290" t="s">
        <v>287</v>
      </c>
      <c r="W101" s="290" t="s">
        <v>288</v>
      </c>
      <c r="X101" s="51">
        <v>3000</v>
      </c>
      <c r="Y101" s="294">
        <f t="shared" si="6"/>
        <v>1500000</v>
      </c>
      <c r="Z101" s="255"/>
      <c r="AA101" s="31">
        <v>0</v>
      </c>
      <c r="AB101" s="30"/>
      <c r="AC101" s="30"/>
      <c r="AD101" s="31" t="s">
        <v>178</v>
      </c>
    </row>
    <row r="102" spans="1:30" x14ac:dyDescent="0.2">
      <c r="A102" s="30"/>
      <c r="B102" s="319" t="s">
        <v>289</v>
      </c>
      <c r="C102" s="319"/>
      <c r="D102" s="319"/>
      <c r="E102" s="319"/>
      <c r="F102" s="319"/>
      <c r="G102" s="319"/>
      <c r="H102" s="319"/>
      <c r="I102" s="319"/>
      <c r="J102" s="319"/>
      <c r="K102" s="319"/>
      <c r="L102" s="319"/>
      <c r="M102" s="319"/>
      <c r="N102" s="319"/>
      <c r="O102" s="319"/>
      <c r="P102" s="319"/>
      <c r="Q102" s="319"/>
      <c r="R102" s="319"/>
      <c r="S102" s="319"/>
      <c r="T102" s="319"/>
      <c r="U102" s="319"/>
      <c r="V102" s="319"/>
      <c r="W102" s="319"/>
      <c r="X102" s="319"/>
      <c r="Y102" s="319"/>
      <c r="Z102" s="319"/>
      <c r="AA102" s="319"/>
      <c r="AB102" s="319"/>
      <c r="AC102" s="319"/>
      <c r="AD102" s="319"/>
    </row>
    <row r="103" spans="1:30" ht="13.5" x14ac:dyDescent="0.2">
      <c r="A103" s="30"/>
      <c r="B103" s="318" t="s">
        <v>290</v>
      </c>
      <c r="C103" s="318"/>
      <c r="D103" s="318"/>
      <c r="E103" s="318"/>
      <c r="F103" s="318"/>
      <c r="G103" s="318"/>
      <c r="H103" s="318"/>
      <c r="I103" s="318"/>
      <c r="J103" s="318"/>
      <c r="K103" s="318"/>
      <c r="L103" s="318"/>
      <c r="M103" s="318"/>
      <c r="N103" s="318"/>
      <c r="O103" s="318"/>
      <c r="P103" s="318"/>
      <c r="Q103" s="318"/>
      <c r="R103" s="318"/>
      <c r="S103" s="318"/>
      <c r="T103" s="318"/>
      <c r="U103" s="318"/>
      <c r="V103" s="318"/>
      <c r="W103" s="318"/>
      <c r="X103" s="318"/>
      <c r="Y103" s="318"/>
      <c r="Z103" s="318"/>
      <c r="AA103" s="318"/>
      <c r="AB103" s="318"/>
      <c r="AC103" s="318"/>
      <c r="AD103" s="318"/>
    </row>
    <row r="104" spans="1:30" ht="76.5" x14ac:dyDescent="0.2">
      <c r="A104" s="30">
        <f>1</f>
        <v>1</v>
      </c>
      <c r="B104" s="50" t="s">
        <v>291</v>
      </c>
      <c r="C104" s="50" t="s">
        <v>292</v>
      </c>
      <c r="D104" s="49"/>
      <c r="E104" s="301"/>
      <c r="F104" s="292"/>
      <c r="G104" s="292"/>
      <c r="H104" s="292" t="s">
        <v>45</v>
      </c>
      <c r="I104" s="301"/>
      <c r="J104" s="292" t="s">
        <v>45</v>
      </c>
      <c r="K104" s="292" t="s">
        <v>45</v>
      </c>
      <c r="L104" s="292" t="s">
        <v>45</v>
      </c>
      <c r="M104" s="301"/>
      <c r="N104" s="292" t="s">
        <v>45</v>
      </c>
      <c r="O104" s="292" t="s">
        <v>45</v>
      </c>
      <c r="P104" s="292" t="s">
        <v>45</v>
      </c>
      <c r="Q104" s="301"/>
      <c r="R104" s="292" t="s">
        <v>45</v>
      </c>
      <c r="S104" s="292" t="s">
        <v>45</v>
      </c>
      <c r="T104" s="292" t="s">
        <v>45</v>
      </c>
      <c r="U104" s="291"/>
      <c r="V104" s="290" t="s">
        <v>293</v>
      </c>
      <c r="W104" s="291"/>
      <c r="X104" s="51">
        <v>2595</v>
      </c>
      <c r="Y104" s="294">
        <f t="shared" ref="Y104:Y109" si="9">+X104*$X$2</f>
        <v>1297500</v>
      </c>
      <c r="Z104" s="302">
        <v>551140</v>
      </c>
      <c r="AA104" s="298">
        <v>0</v>
      </c>
      <c r="AB104" s="30"/>
      <c r="AC104" s="30"/>
      <c r="AD104" s="31" t="s">
        <v>178</v>
      </c>
    </row>
    <row r="105" spans="1:30" ht="76.5" x14ac:dyDescent="0.2">
      <c r="A105" s="30">
        <f t="shared" si="8"/>
        <v>2</v>
      </c>
      <c r="B105" s="50" t="s">
        <v>294</v>
      </c>
      <c r="C105" s="50" t="s">
        <v>295</v>
      </c>
      <c r="D105" s="49"/>
      <c r="E105" s="301"/>
      <c r="F105" s="292" t="s">
        <v>45</v>
      </c>
      <c r="G105" s="292" t="s">
        <v>45</v>
      </c>
      <c r="H105" s="292" t="s">
        <v>45</v>
      </c>
      <c r="I105" s="301"/>
      <c r="J105" s="292" t="s">
        <v>45</v>
      </c>
      <c r="K105" s="292" t="s">
        <v>45</v>
      </c>
      <c r="L105" s="292" t="s">
        <v>45</v>
      </c>
      <c r="M105" s="301"/>
      <c r="N105" s="292" t="s">
        <v>45</v>
      </c>
      <c r="O105" s="292" t="s">
        <v>45</v>
      </c>
      <c r="P105" s="292" t="s">
        <v>45</v>
      </c>
      <c r="Q105" s="301"/>
      <c r="R105" s="292" t="s">
        <v>45</v>
      </c>
      <c r="S105" s="292" t="s">
        <v>45</v>
      </c>
      <c r="T105" s="292" t="s">
        <v>45</v>
      </c>
      <c r="U105" s="291"/>
      <c r="V105" s="290" t="s">
        <v>296</v>
      </c>
      <c r="W105" s="291"/>
      <c r="X105" s="51">
        <v>13206</v>
      </c>
      <c r="Y105" s="294">
        <f t="shared" si="9"/>
        <v>6603000</v>
      </c>
      <c r="Z105" s="302">
        <v>7196461</v>
      </c>
      <c r="AA105" s="298">
        <v>0</v>
      </c>
      <c r="AB105" s="30"/>
      <c r="AC105" s="30"/>
      <c r="AD105" s="31" t="s">
        <v>178</v>
      </c>
    </row>
    <row r="106" spans="1:30" ht="102" x14ac:dyDescent="0.2">
      <c r="A106" s="30">
        <f t="shared" si="8"/>
        <v>3</v>
      </c>
      <c r="B106" s="39" t="s">
        <v>297</v>
      </c>
      <c r="C106" s="39" t="s">
        <v>298</v>
      </c>
      <c r="D106" s="30"/>
      <c r="E106" s="32"/>
      <c r="F106" s="43" t="s">
        <v>45</v>
      </c>
      <c r="G106" s="43" t="s">
        <v>45</v>
      </c>
      <c r="H106" s="43" t="s">
        <v>45</v>
      </c>
      <c r="I106" s="32"/>
      <c r="J106" s="43" t="s">
        <v>45</v>
      </c>
      <c r="K106" s="43" t="s">
        <v>45</v>
      </c>
      <c r="L106" s="43" t="s">
        <v>45</v>
      </c>
      <c r="M106" s="32"/>
      <c r="N106" s="43" t="s">
        <v>45</v>
      </c>
      <c r="O106" s="43" t="s">
        <v>45</v>
      </c>
      <c r="P106" s="43" t="s">
        <v>45</v>
      </c>
      <c r="Q106" s="32"/>
      <c r="R106" s="43" t="s">
        <v>45</v>
      </c>
      <c r="S106" s="43" t="s">
        <v>45</v>
      </c>
      <c r="T106" s="43" t="s">
        <v>45</v>
      </c>
      <c r="U106" s="42"/>
      <c r="V106" s="31" t="s">
        <v>299</v>
      </c>
      <c r="W106" s="42"/>
      <c r="X106" s="45">
        <v>8000</v>
      </c>
      <c r="Y106" s="70">
        <f t="shared" si="9"/>
        <v>4000000</v>
      </c>
      <c r="Z106" s="246">
        <v>375830</v>
      </c>
      <c r="AA106" s="238">
        <v>3809040</v>
      </c>
      <c r="AB106" s="30"/>
      <c r="AC106" s="30"/>
      <c r="AD106" s="31" t="s">
        <v>178</v>
      </c>
    </row>
    <row r="107" spans="1:30" ht="102" x14ac:dyDescent="0.2">
      <c r="A107" s="30">
        <f t="shared" si="8"/>
        <v>4</v>
      </c>
      <c r="B107" s="39" t="s">
        <v>300</v>
      </c>
      <c r="C107" s="39" t="s">
        <v>301</v>
      </c>
      <c r="D107" s="30"/>
      <c r="E107" s="32"/>
      <c r="F107" s="43" t="s">
        <v>45</v>
      </c>
      <c r="G107" s="43" t="s">
        <v>45</v>
      </c>
      <c r="H107" s="43" t="s">
        <v>45</v>
      </c>
      <c r="I107" s="32"/>
      <c r="J107" s="43" t="s">
        <v>45</v>
      </c>
      <c r="K107" s="43" t="s">
        <v>45</v>
      </c>
      <c r="L107" s="43" t="s">
        <v>45</v>
      </c>
      <c r="M107" s="32"/>
      <c r="N107" s="43" t="s">
        <v>45</v>
      </c>
      <c r="O107" s="43" t="s">
        <v>45</v>
      </c>
      <c r="P107" s="43" t="s">
        <v>45</v>
      </c>
      <c r="Q107" s="32"/>
      <c r="R107" s="43" t="s">
        <v>45</v>
      </c>
      <c r="S107" s="43" t="s">
        <v>45</v>
      </c>
      <c r="T107" s="43" t="s">
        <v>45</v>
      </c>
      <c r="U107" s="42"/>
      <c r="V107" s="31" t="s">
        <v>302</v>
      </c>
      <c r="W107" s="42"/>
      <c r="X107" s="45">
        <v>20000</v>
      </c>
      <c r="Y107" s="70">
        <f t="shared" si="9"/>
        <v>10000000</v>
      </c>
      <c r="Z107" s="246"/>
      <c r="AA107" s="238">
        <v>10000000</v>
      </c>
      <c r="AB107" s="30"/>
      <c r="AC107" s="30"/>
      <c r="AD107" s="31" t="s">
        <v>178</v>
      </c>
    </row>
    <row r="108" spans="1:30" ht="13.5" x14ac:dyDescent="0.2">
      <c r="A108" s="30"/>
      <c r="B108" s="318" t="s">
        <v>303</v>
      </c>
      <c r="C108" s="318"/>
      <c r="D108" s="318"/>
      <c r="E108" s="318"/>
      <c r="F108" s="318"/>
      <c r="G108" s="318"/>
      <c r="H108" s="318"/>
      <c r="I108" s="318"/>
      <c r="J108" s="318"/>
      <c r="K108" s="318"/>
      <c r="L108" s="318"/>
      <c r="M108" s="318"/>
      <c r="N108" s="318"/>
      <c r="O108" s="318"/>
      <c r="P108" s="318"/>
      <c r="Q108" s="318"/>
      <c r="R108" s="318"/>
      <c r="S108" s="318"/>
      <c r="T108" s="318"/>
      <c r="U108" s="318"/>
      <c r="V108" s="318"/>
      <c r="W108" s="318"/>
      <c r="X108" s="318"/>
      <c r="Y108" s="318"/>
      <c r="Z108" s="318"/>
      <c r="AA108" s="318"/>
      <c r="AB108" s="318"/>
      <c r="AC108" s="318"/>
      <c r="AD108" s="318"/>
    </row>
    <row r="109" spans="1:30" ht="38.25" x14ac:dyDescent="0.2">
      <c r="A109" s="30">
        <f>1</f>
        <v>1</v>
      </c>
      <c r="B109" s="50" t="s">
        <v>304</v>
      </c>
      <c r="C109" s="50" t="s">
        <v>305</v>
      </c>
      <c r="D109" s="50"/>
      <c r="E109" s="301"/>
      <c r="F109" s="303"/>
      <c r="G109" s="303"/>
      <c r="H109" s="303"/>
      <c r="I109" s="301"/>
      <c r="J109" s="303"/>
      <c r="K109" s="303"/>
      <c r="L109" s="303"/>
      <c r="M109" s="301"/>
      <c r="N109" s="303" t="s">
        <v>45</v>
      </c>
      <c r="O109" s="303"/>
      <c r="P109" s="303"/>
      <c r="Q109" s="301"/>
      <c r="R109" s="303"/>
      <c r="S109" s="303"/>
      <c r="T109" s="303"/>
      <c r="U109" s="301"/>
      <c r="V109" s="304" t="s">
        <v>306</v>
      </c>
      <c r="W109" s="291"/>
      <c r="X109" s="305">
        <v>3582</v>
      </c>
      <c r="Y109" s="294">
        <f t="shared" si="9"/>
        <v>1791000</v>
      </c>
      <c r="Z109" s="294">
        <v>559279</v>
      </c>
      <c r="AA109" s="306">
        <v>0</v>
      </c>
      <c r="AB109" s="28"/>
      <c r="AC109" s="48"/>
      <c r="AD109" s="29" t="s">
        <v>178</v>
      </c>
    </row>
    <row r="110" spans="1:30" ht="38.25" x14ac:dyDescent="0.2">
      <c r="A110" s="30">
        <f t="shared" si="8"/>
        <v>2</v>
      </c>
      <c r="B110" s="50" t="s">
        <v>307</v>
      </c>
      <c r="C110" s="50" t="s">
        <v>308</v>
      </c>
      <c r="D110" s="50"/>
      <c r="E110" s="301"/>
      <c r="F110" s="303"/>
      <c r="G110" s="303"/>
      <c r="H110" s="303" t="s">
        <v>45</v>
      </c>
      <c r="I110" s="301"/>
      <c r="J110" s="303"/>
      <c r="K110" s="303"/>
      <c r="L110" s="303"/>
      <c r="M110" s="301"/>
      <c r="N110" s="303"/>
      <c r="O110" s="303"/>
      <c r="P110" s="303"/>
      <c r="Q110" s="301"/>
      <c r="R110" s="303"/>
      <c r="S110" s="303"/>
      <c r="T110" s="303"/>
      <c r="U110" s="301"/>
      <c r="V110" s="304" t="s">
        <v>309</v>
      </c>
      <c r="W110" s="291"/>
      <c r="X110" s="305">
        <v>6372</v>
      </c>
      <c r="Y110" s="294">
        <f t="shared" ref="Y110" si="10">+X110*$X$2</f>
        <v>3186000</v>
      </c>
      <c r="Z110" s="306">
        <v>3026700</v>
      </c>
      <c r="AA110" s="306">
        <v>0</v>
      </c>
      <c r="AB110" s="28"/>
      <c r="AC110" s="48"/>
      <c r="AD110" s="29" t="s">
        <v>178</v>
      </c>
    </row>
    <row r="111" spans="1:30" ht="63.75" x14ac:dyDescent="0.2">
      <c r="A111" s="30">
        <f t="shared" si="8"/>
        <v>3</v>
      </c>
      <c r="B111" s="50" t="s">
        <v>313</v>
      </c>
      <c r="C111" s="50" t="s">
        <v>314</v>
      </c>
      <c r="D111" s="307"/>
      <c r="E111" s="301"/>
      <c r="F111" s="292"/>
      <c r="G111" s="292"/>
      <c r="H111" s="292"/>
      <c r="I111" s="301"/>
      <c r="J111" s="292" t="s">
        <v>45</v>
      </c>
      <c r="K111" s="292"/>
      <c r="L111" s="292"/>
      <c r="M111" s="301"/>
      <c r="N111" s="292"/>
      <c r="O111" s="292"/>
      <c r="P111" s="292"/>
      <c r="Q111" s="301"/>
      <c r="R111" s="292"/>
      <c r="S111" s="292"/>
      <c r="T111" s="292"/>
      <c r="U111" s="301"/>
      <c r="V111" s="50" t="s">
        <v>315</v>
      </c>
      <c r="W111" s="291"/>
      <c r="X111" s="51">
        <v>30000</v>
      </c>
      <c r="Y111" s="294">
        <f t="shared" ref="Y111" si="11">+X111*$X$2</f>
        <v>15000000</v>
      </c>
      <c r="Z111" s="306">
        <v>15189551</v>
      </c>
      <c r="AA111" s="306">
        <v>0</v>
      </c>
      <c r="AB111" s="48"/>
      <c r="AC111" s="48"/>
      <c r="AD111" s="29" t="s">
        <v>178</v>
      </c>
    </row>
    <row r="112" spans="1:30" ht="51" x14ac:dyDescent="0.2">
      <c r="A112" s="30">
        <f t="shared" si="8"/>
        <v>4</v>
      </c>
      <c r="B112" s="39" t="s">
        <v>316</v>
      </c>
      <c r="C112" s="39" t="s">
        <v>317</v>
      </c>
      <c r="D112" s="217"/>
      <c r="E112" s="32"/>
      <c r="F112" s="43"/>
      <c r="G112" s="43"/>
      <c r="H112" s="43"/>
      <c r="I112" s="32"/>
      <c r="J112" s="43"/>
      <c r="K112" s="43"/>
      <c r="L112" s="43"/>
      <c r="M112" s="32"/>
      <c r="N112" s="43"/>
      <c r="O112" s="43" t="s">
        <v>45</v>
      </c>
      <c r="P112" s="43" t="s">
        <v>45</v>
      </c>
      <c r="Q112" s="32"/>
      <c r="R112" s="43"/>
      <c r="S112" s="43"/>
      <c r="T112" s="43"/>
      <c r="U112" s="32"/>
      <c r="V112" s="39" t="s">
        <v>318</v>
      </c>
      <c r="W112" s="42"/>
      <c r="X112" s="45">
        <v>62255</v>
      </c>
      <c r="Y112" s="70">
        <f t="shared" ref="Y112" si="12">+X112*$X$2</f>
        <v>31127500</v>
      </c>
      <c r="Z112" s="239">
        <f>16363624+2712689</f>
        <v>19076313</v>
      </c>
      <c r="AA112" s="239">
        <f>15563636+25575225*0.05</f>
        <v>16842397.25</v>
      </c>
      <c r="AB112" s="48"/>
      <c r="AC112" s="48"/>
      <c r="AD112" s="29" t="s">
        <v>178</v>
      </c>
    </row>
    <row r="113" spans="24:27" x14ac:dyDescent="0.2">
      <c r="X113" s="233"/>
      <c r="Y113" s="233"/>
      <c r="Z113" s="233"/>
      <c r="AA113" s="233"/>
    </row>
    <row r="114" spans="24:27" x14ac:dyDescent="0.2">
      <c r="X114" s="233">
        <f>SUM(X10:X27,X29:X30,X32:X33,X35,X38:X41,X43:X46,X48,X51:X55,X57:X58,X60:X64,X66:X72,X74:X79,X83:X91,X93:X94,X96:X98,X101,X104:X107,X109:X112)</f>
        <v>1525353</v>
      </c>
      <c r="Y114" s="233"/>
      <c r="Z114" s="233"/>
      <c r="AA114" s="233"/>
    </row>
    <row r="115" spans="24:27" x14ac:dyDescent="0.2">
      <c r="X115" s="233"/>
      <c r="Y115" s="233"/>
      <c r="Z115" s="233"/>
      <c r="AA115" s="233"/>
    </row>
    <row r="116" spans="24:27" x14ac:dyDescent="0.2">
      <c r="X116" s="233"/>
      <c r="Y116" s="233"/>
      <c r="Z116" s="233"/>
      <c r="AA116" s="233"/>
    </row>
    <row r="117" spans="24:27" x14ac:dyDescent="0.2">
      <c r="Y117" s="257">
        <f>+Y112-Z112</f>
        <v>12051187</v>
      </c>
    </row>
  </sheetData>
  <mergeCells count="49">
    <mergeCell ref="B102:AD102"/>
    <mergeCell ref="B103:AD103"/>
    <mergeCell ref="B34:AD34"/>
    <mergeCell ref="B28:AD28"/>
    <mergeCell ref="B9:AD9"/>
    <mergeCell ref="B31:AD31"/>
    <mergeCell ref="B65:AD65"/>
    <mergeCell ref="B100:AD100"/>
    <mergeCell ref="B73:AD73"/>
    <mergeCell ref="E6:E7"/>
    <mergeCell ref="I6:I7"/>
    <mergeCell ref="AC6:AC7"/>
    <mergeCell ref="D6:D7"/>
    <mergeCell ref="W6:W7"/>
    <mergeCell ref="F6:H6"/>
    <mergeCell ref="AA6:AA7"/>
    <mergeCell ref="Z6:Z7"/>
    <mergeCell ref="C6:C7"/>
    <mergeCell ref="B82:AD82"/>
    <mergeCell ref="B92:AD92"/>
    <mergeCell ref="B95:AD95"/>
    <mergeCell ref="B50:AD50"/>
    <mergeCell ref="B56:AD56"/>
    <mergeCell ref="B59:AD59"/>
    <mergeCell ref="B49:AD49"/>
    <mergeCell ref="B81:AD81"/>
    <mergeCell ref="B36:AD36"/>
    <mergeCell ref="B6:B7"/>
    <mergeCell ref="B8:AD8"/>
    <mergeCell ref="B47:AD47"/>
    <mergeCell ref="B42:AD42"/>
    <mergeCell ref="B37:AD37"/>
    <mergeCell ref="R6:T6"/>
    <mergeCell ref="B108:AD108"/>
    <mergeCell ref="G2:H2"/>
    <mergeCell ref="G1:AD1"/>
    <mergeCell ref="M6:M7"/>
    <mergeCell ref="Q6:Q7"/>
    <mergeCell ref="J6:L6"/>
    <mergeCell ref="N6:P6"/>
    <mergeCell ref="AB6:AB7"/>
    <mergeCell ref="E3:AD3"/>
    <mergeCell ref="G4:H4"/>
    <mergeCell ref="I4:AD4"/>
    <mergeCell ref="E5:AD5"/>
    <mergeCell ref="U6:U7"/>
    <mergeCell ref="V6:V7"/>
    <mergeCell ref="X6:X7"/>
    <mergeCell ref="AD6:AD7"/>
  </mergeCells>
  <pageMargins left="0.7" right="0.7" top="0.75" bottom="0.75" header="0.3" footer="0.3"/>
  <pageSetup orientation="portrait"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I10"/>
  <sheetViews>
    <sheetView workbookViewId="0"/>
  </sheetViews>
  <sheetFormatPr baseColWidth="10" defaultColWidth="11.42578125" defaultRowHeight="15" x14ac:dyDescent="0.25"/>
  <cols>
    <col min="1" max="1" width="6.5703125" customWidth="1"/>
    <col min="2" max="2" width="38.42578125" style="1" customWidth="1"/>
    <col min="3" max="3" width="16.140625" customWidth="1"/>
    <col min="4" max="4" width="18.140625" customWidth="1"/>
    <col min="5" max="5" width="22.42578125" customWidth="1"/>
    <col min="6" max="6" width="10.42578125" bestFit="1" customWidth="1"/>
    <col min="8" max="8" width="18.140625" customWidth="1"/>
  </cols>
  <sheetData>
    <row r="2" spans="1:9" ht="18" x14ac:dyDescent="0.25">
      <c r="C2" s="5" t="s">
        <v>319</v>
      </c>
      <c r="D2" s="5" t="s">
        <v>320</v>
      </c>
      <c r="E2" s="5"/>
    </row>
    <row r="3" spans="1:9" ht="18" x14ac:dyDescent="0.25">
      <c r="A3" s="4"/>
      <c r="B3" s="5" t="s">
        <v>321</v>
      </c>
      <c r="C3" s="4"/>
      <c r="D3" s="4">
        <v>500</v>
      </c>
      <c r="E3" s="4"/>
    </row>
    <row r="4" spans="1:9" ht="18" x14ac:dyDescent="0.25">
      <c r="A4" s="78">
        <v>1</v>
      </c>
      <c r="B4" s="79" t="s">
        <v>322</v>
      </c>
      <c r="C4" s="80">
        <f>+'C1'!D10</f>
        <v>351632</v>
      </c>
      <c r="D4" s="80">
        <f t="shared" ref="D4:D9" si="0">+C4*$D$3</f>
        <v>175816000</v>
      </c>
      <c r="E4" s="80"/>
      <c r="F4" s="81">
        <f t="shared" ref="F4:F9" si="1">+D4/$D$9</f>
        <v>0.21127254965345027</v>
      </c>
      <c r="H4" s="2"/>
    </row>
    <row r="5" spans="1:9" ht="36" x14ac:dyDescent="0.25">
      <c r="A5" s="78">
        <f>+A4+1</f>
        <v>2</v>
      </c>
      <c r="B5" s="79" t="s">
        <v>323</v>
      </c>
      <c r="C5" s="80">
        <f>+'C2'!C7</f>
        <v>202640</v>
      </c>
      <c r="D5" s="80">
        <f t="shared" si="0"/>
        <v>101320000</v>
      </c>
      <c r="E5" s="80"/>
      <c r="F5" s="81">
        <f t="shared" si="1"/>
        <v>0.12175305279887827</v>
      </c>
      <c r="H5" s="2"/>
    </row>
    <row r="6" spans="1:9" ht="18" x14ac:dyDescent="0.25">
      <c r="A6" s="78">
        <f>+A5+1</f>
        <v>3</v>
      </c>
      <c r="B6" s="79" t="s">
        <v>324</v>
      </c>
      <c r="C6" s="80">
        <f>+'C3'!C10</f>
        <v>476605</v>
      </c>
      <c r="D6" s="80">
        <f t="shared" si="0"/>
        <v>238302500</v>
      </c>
      <c r="E6" s="80"/>
      <c r="F6" s="81">
        <f t="shared" si="1"/>
        <v>0.28636060861236368</v>
      </c>
      <c r="H6" s="2"/>
    </row>
    <row r="7" spans="1:9" ht="18" x14ac:dyDescent="0.25">
      <c r="A7" s="78">
        <f>+A6+1</f>
        <v>4</v>
      </c>
      <c r="B7" s="79" t="s">
        <v>325</v>
      </c>
      <c r="C7" s="80">
        <f>+'C4'!C9</f>
        <v>444466</v>
      </c>
      <c r="D7" s="80">
        <f t="shared" si="0"/>
        <v>222233000</v>
      </c>
      <c r="E7" s="80"/>
      <c r="F7" s="81">
        <f t="shared" si="1"/>
        <v>0.26705039659152302</v>
      </c>
      <c r="H7" s="2"/>
    </row>
    <row r="8" spans="1:9" ht="36" x14ac:dyDescent="0.25">
      <c r="A8" s="78">
        <f>+A7+1</f>
        <v>5</v>
      </c>
      <c r="B8" s="79" t="s">
        <v>326</v>
      </c>
      <c r="C8" s="80">
        <f>+'C5'!C7</f>
        <v>189009.51799999998</v>
      </c>
      <c r="D8" s="80">
        <f t="shared" si="0"/>
        <v>94504758.999999985</v>
      </c>
      <c r="E8" s="80"/>
      <c r="F8" s="81">
        <f t="shared" si="1"/>
        <v>0.11356339234378469</v>
      </c>
      <c r="H8" s="2"/>
      <c r="I8" s="3"/>
    </row>
    <row r="9" spans="1:9" ht="18" x14ac:dyDescent="0.25">
      <c r="A9" s="78"/>
      <c r="B9" s="82" t="s">
        <v>327</v>
      </c>
      <c r="C9" s="83">
        <f>SUM(C4:C8)</f>
        <v>1664352.5179999999</v>
      </c>
      <c r="D9" s="84">
        <f t="shared" si="0"/>
        <v>832176259</v>
      </c>
      <c r="E9" s="84"/>
      <c r="F9" s="85">
        <f t="shared" si="1"/>
        <v>1</v>
      </c>
    </row>
    <row r="10" spans="1:9" x14ac:dyDescent="0.25">
      <c r="H10" s="3"/>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5:L59"/>
  <sheetViews>
    <sheetView workbookViewId="0"/>
  </sheetViews>
  <sheetFormatPr baseColWidth="10" defaultColWidth="11.42578125" defaultRowHeight="15" x14ac:dyDescent="0.25"/>
  <cols>
    <col min="1" max="1" width="13.85546875" customWidth="1"/>
    <col min="2" max="2" width="25.5703125" style="10" customWidth="1"/>
    <col min="3" max="3" width="13.42578125" style="2" customWidth="1"/>
    <col min="4" max="5" width="14.42578125" bestFit="1" customWidth="1"/>
    <col min="6" max="6" width="13" customWidth="1"/>
    <col min="7" max="7" width="13.42578125" customWidth="1"/>
    <col min="8" max="8" width="13.42578125" style="2" customWidth="1"/>
    <col min="9" max="9" width="15.42578125" bestFit="1" customWidth="1"/>
    <col min="10" max="10" width="14.42578125" style="2" bestFit="1" customWidth="1"/>
    <col min="11" max="11" width="11.5703125" bestFit="1" customWidth="1"/>
    <col min="12" max="12" width="11.85546875" bestFit="1" customWidth="1"/>
  </cols>
  <sheetData>
    <row r="5" spans="1:10" x14ac:dyDescent="0.25">
      <c r="B5" s="354" t="s">
        <v>328</v>
      </c>
      <c r="C5" s="354"/>
      <c r="D5" s="354" t="s">
        <v>329</v>
      </c>
      <c r="E5" s="354"/>
      <c r="F5" s="355" t="s">
        <v>330</v>
      </c>
      <c r="G5" s="354" t="s">
        <v>331</v>
      </c>
      <c r="H5" s="354"/>
    </row>
    <row r="6" spans="1:10" x14ac:dyDescent="0.25">
      <c r="B6" s="10" t="s">
        <v>332</v>
      </c>
      <c r="C6" s="2" t="s">
        <v>333</v>
      </c>
      <c r="D6" t="s">
        <v>332</v>
      </c>
      <c r="E6" t="s">
        <v>333</v>
      </c>
      <c r="F6" s="355"/>
      <c r="G6" t="s">
        <v>332</v>
      </c>
      <c r="H6" s="2" t="s">
        <v>333</v>
      </c>
    </row>
    <row r="7" spans="1:10" x14ac:dyDescent="0.25">
      <c r="D7" s="6">
        <v>177000</v>
      </c>
      <c r="E7" s="6">
        <v>751000</v>
      </c>
      <c r="F7" s="6">
        <v>45000</v>
      </c>
      <c r="G7" s="6">
        <v>12500</v>
      </c>
      <c r="H7" s="6">
        <v>17500</v>
      </c>
    </row>
    <row r="8" spans="1:10" x14ac:dyDescent="0.25">
      <c r="A8">
        <v>2020</v>
      </c>
      <c r="B8" s="11">
        <v>18</v>
      </c>
      <c r="C8" s="14">
        <v>5</v>
      </c>
      <c r="D8" s="2">
        <f>+B8*$D$7</f>
        <v>3186000</v>
      </c>
      <c r="E8" s="2">
        <f>+C8*$E$7</f>
        <v>3755000</v>
      </c>
      <c r="F8" s="3">
        <f>+B8*$F$7+C8*$F$7</f>
        <v>1035000</v>
      </c>
      <c r="G8" s="3">
        <f>+B8*$G$7*12</f>
        <v>2700000</v>
      </c>
      <c r="H8" s="2">
        <f>+C8*$H$7*12</f>
        <v>1050000</v>
      </c>
    </row>
    <row r="9" spans="1:10" x14ac:dyDescent="0.25">
      <c r="A9" t="s">
        <v>334</v>
      </c>
      <c r="B9" s="11">
        <v>26</v>
      </c>
      <c r="C9" s="14"/>
      <c r="D9" s="2">
        <f>+B9*$D$7</f>
        <v>4602000</v>
      </c>
      <c r="E9" s="2"/>
      <c r="F9" s="3"/>
      <c r="G9" s="3"/>
    </row>
    <row r="10" spans="1:10" x14ac:dyDescent="0.25">
      <c r="A10">
        <v>2021</v>
      </c>
      <c r="B10" s="11">
        <v>17</v>
      </c>
      <c r="C10" s="14">
        <v>4</v>
      </c>
      <c r="D10" s="2">
        <f>+B10*$D$7</f>
        <v>3009000</v>
      </c>
      <c r="E10" s="2">
        <f>+C10*$E$7</f>
        <v>3004000</v>
      </c>
      <c r="F10" s="3">
        <f>+B10*$F$7+C10*$F$7</f>
        <v>945000</v>
      </c>
      <c r="G10" s="3">
        <f>+B10*$G$7*12</f>
        <v>2550000</v>
      </c>
      <c r="H10" s="2">
        <f>+C10*$H$7*12</f>
        <v>840000</v>
      </c>
    </row>
    <row r="11" spans="1:10" x14ac:dyDescent="0.25">
      <c r="B11" s="12">
        <f>SUM(B8:B10)</f>
        <v>61</v>
      </c>
      <c r="C11" s="15">
        <f>SUM(C8:C10)</f>
        <v>9</v>
      </c>
      <c r="D11" s="2">
        <f>+B11*$D$7</f>
        <v>10797000</v>
      </c>
      <c r="E11" s="2">
        <f>+C11*$E$7</f>
        <v>6759000</v>
      </c>
      <c r="F11" s="3">
        <f>+B11*$F$7+C11*$F$7</f>
        <v>3150000</v>
      </c>
      <c r="G11" s="3">
        <f>+B11*$G$7*12</f>
        <v>9150000</v>
      </c>
      <c r="H11" s="2">
        <f>+C11*$H$7*12</f>
        <v>1890000</v>
      </c>
    </row>
    <row r="12" spans="1:10" x14ac:dyDescent="0.25">
      <c r="B12" s="12"/>
      <c r="C12" s="15"/>
      <c r="D12" s="2"/>
      <c r="E12" s="2"/>
      <c r="F12" s="3"/>
      <c r="G12" s="3"/>
    </row>
    <row r="13" spans="1:10" x14ac:dyDescent="0.25">
      <c r="A13" t="s">
        <v>7</v>
      </c>
      <c r="B13" s="11"/>
      <c r="C13" s="16">
        <f>+B11+C11</f>
        <v>70</v>
      </c>
      <c r="D13" s="2"/>
      <c r="E13" s="2">
        <f>+D11+E11</f>
        <v>17556000</v>
      </c>
      <c r="F13" s="3">
        <f>+B13*$F$7+C13*$F$7</f>
        <v>3150000</v>
      </c>
      <c r="H13" s="2">
        <f>+G11+H11</f>
        <v>11040000</v>
      </c>
      <c r="I13" s="7">
        <f>SUM(E13:H13)</f>
        <v>31746000</v>
      </c>
      <c r="J13" s="7">
        <f>+I13/500</f>
        <v>63492</v>
      </c>
    </row>
    <row r="14" spans="1:10" x14ac:dyDescent="0.25">
      <c r="B14" s="354" t="s">
        <v>335</v>
      </c>
      <c r="C14" s="354"/>
      <c r="D14" s="354" t="s">
        <v>329</v>
      </c>
      <c r="E14" s="354"/>
      <c r="F14" s="355" t="s">
        <v>330</v>
      </c>
      <c r="G14" s="354" t="s">
        <v>331</v>
      </c>
      <c r="H14" s="354"/>
      <c r="I14" s="2"/>
    </row>
    <row r="15" spans="1:10" x14ac:dyDescent="0.25">
      <c r="B15" s="10" t="s">
        <v>332</v>
      </c>
      <c r="C15" s="2" t="s">
        <v>333</v>
      </c>
      <c r="D15" t="s">
        <v>332</v>
      </c>
      <c r="E15" t="s">
        <v>333</v>
      </c>
      <c r="F15" s="355"/>
      <c r="G15" t="s">
        <v>332</v>
      </c>
      <c r="H15" s="2" t="s">
        <v>333</v>
      </c>
      <c r="I15" s="2"/>
    </row>
    <row r="16" spans="1:10" x14ac:dyDescent="0.25">
      <c r="D16" s="6">
        <v>302000</v>
      </c>
      <c r="E16" s="6">
        <v>951000</v>
      </c>
      <c r="F16" s="6">
        <v>80000</v>
      </c>
      <c r="G16" s="6">
        <v>12500</v>
      </c>
      <c r="H16" s="6">
        <v>17500</v>
      </c>
      <c r="I16" s="2"/>
    </row>
    <row r="17" spans="1:10" x14ac:dyDescent="0.25">
      <c r="A17">
        <v>2020</v>
      </c>
      <c r="B17" s="11">
        <v>16</v>
      </c>
      <c r="C17" s="14">
        <v>5</v>
      </c>
      <c r="D17" s="2">
        <f>+B17*$D$16</f>
        <v>4832000</v>
      </c>
      <c r="E17" s="2">
        <f>+C17*$E$16</f>
        <v>4755000</v>
      </c>
      <c r="F17" s="3">
        <f>+B17*$F$16+C17*$F$16</f>
        <v>1680000</v>
      </c>
      <c r="G17" s="3">
        <f>+B17*$G$16*12</f>
        <v>2400000</v>
      </c>
      <c r="H17" s="2">
        <f>+C17*$H$16*12</f>
        <v>1050000</v>
      </c>
      <c r="I17" s="2"/>
    </row>
    <row r="18" spans="1:10" x14ac:dyDescent="0.25">
      <c r="A18">
        <v>2021</v>
      </c>
      <c r="B18" s="11">
        <v>4</v>
      </c>
      <c r="C18" s="14">
        <v>3</v>
      </c>
      <c r="D18" s="2">
        <f>+B18*$D$16</f>
        <v>1208000</v>
      </c>
      <c r="E18" s="2">
        <f>+C18*$E$16</f>
        <v>2853000</v>
      </c>
      <c r="F18" s="3">
        <f>+B18*$F$16+C18*$F$16</f>
        <v>560000</v>
      </c>
      <c r="G18" s="3">
        <f>+B18*$G$16*12</f>
        <v>600000</v>
      </c>
      <c r="H18" s="2">
        <f>+C18*$H$16*12</f>
        <v>630000</v>
      </c>
      <c r="I18" s="2"/>
    </row>
    <row r="19" spans="1:10" x14ac:dyDescent="0.25">
      <c r="B19" s="11">
        <f>SUM(B17:B18)</f>
        <v>20</v>
      </c>
      <c r="C19" s="14">
        <f>SUM(C17:C18)</f>
        <v>8</v>
      </c>
      <c r="D19" s="2">
        <f>+B19*$D$16</f>
        <v>6040000</v>
      </c>
      <c r="E19" s="2">
        <f>+C19*$E$16</f>
        <v>7608000</v>
      </c>
      <c r="F19" s="3">
        <f>+B19*$F$16+C19*$F$16</f>
        <v>2240000</v>
      </c>
      <c r="G19" s="3">
        <f>+B19*$G$16*12</f>
        <v>3000000</v>
      </c>
      <c r="H19" s="2">
        <f>+C19*$H$16*12</f>
        <v>1680000</v>
      </c>
      <c r="I19" s="2"/>
    </row>
    <row r="20" spans="1:10" x14ac:dyDescent="0.25">
      <c r="A20" t="s">
        <v>7</v>
      </c>
      <c r="C20" s="2">
        <f>+B19+C19</f>
        <v>28</v>
      </c>
      <c r="E20" s="3">
        <f>+D19+E19</f>
        <v>13648000</v>
      </c>
      <c r="F20" s="3">
        <f>+B20*$F$16+C20*$F$16</f>
        <v>2240000</v>
      </c>
      <c r="G20" s="3"/>
      <c r="H20" s="2">
        <f>+G19+H19</f>
        <v>4680000</v>
      </c>
      <c r="I20" s="7">
        <f>SUM(D20:H20)</f>
        <v>20568000</v>
      </c>
      <c r="J20" s="7">
        <f>+I20/500</f>
        <v>41136</v>
      </c>
    </row>
    <row r="21" spans="1:10" x14ac:dyDescent="0.25">
      <c r="I21" s="7">
        <f>SUM(I13:I20)</f>
        <v>52314000</v>
      </c>
      <c r="J21" s="7"/>
    </row>
    <row r="22" spans="1:10" x14ac:dyDescent="0.25">
      <c r="I22" s="2">
        <f>+I21/500</f>
        <v>104628</v>
      </c>
    </row>
    <row r="24" spans="1:10" ht="16.5" x14ac:dyDescent="0.3">
      <c r="A24" s="8" t="s">
        <v>336</v>
      </c>
      <c r="C24" s="9">
        <f>SUM(C25:C28)</f>
        <v>38870724</v>
      </c>
      <c r="D24" s="2">
        <f>+C24/500</f>
        <v>77741.448000000004</v>
      </c>
    </row>
    <row r="25" spans="1:10" ht="16.5" x14ac:dyDescent="0.3">
      <c r="B25" s="13" t="s">
        <v>337</v>
      </c>
      <c r="C25" s="9">
        <v>20423750</v>
      </c>
    </row>
    <row r="26" spans="1:10" ht="16.5" x14ac:dyDescent="0.3">
      <c r="B26" s="13" t="s">
        <v>338</v>
      </c>
      <c r="C26" s="9">
        <v>11189574</v>
      </c>
    </row>
    <row r="27" spans="1:10" ht="16.5" x14ac:dyDescent="0.3">
      <c r="B27" s="13" t="s">
        <v>339</v>
      </c>
      <c r="C27" s="9">
        <v>3007400</v>
      </c>
    </row>
    <row r="28" spans="1:10" ht="16.5" x14ac:dyDescent="0.3">
      <c r="B28" s="13" t="s">
        <v>340</v>
      </c>
      <c r="C28" s="9">
        <v>4250000</v>
      </c>
    </row>
    <row r="29" spans="1:10" ht="16.5" x14ac:dyDescent="0.3">
      <c r="B29" s="13"/>
      <c r="C29" s="9"/>
    </row>
    <row r="30" spans="1:10" x14ac:dyDescent="0.25">
      <c r="A30" t="s">
        <v>341</v>
      </c>
    </row>
    <row r="31" spans="1:10" ht="16.5" x14ac:dyDescent="0.3">
      <c r="A31" t="s">
        <v>342</v>
      </c>
      <c r="B31" s="10">
        <v>3</v>
      </c>
      <c r="C31" s="9">
        <v>500000</v>
      </c>
      <c r="D31" s="3">
        <f>+B31*C31</f>
        <v>1500000</v>
      </c>
    </row>
    <row r="32" spans="1:10" ht="16.5" x14ac:dyDescent="0.3">
      <c r="A32" t="s">
        <v>343</v>
      </c>
      <c r="B32" s="10">
        <v>3</v>
      </c>
      <c r="C32" s="9">
        <v>700000</v>
      </c>
      <c r="D32" s="3">
        <f>+B32*C32</f>
        <v>2100000</v>
      </c>
    </row>
    <row r="33" spans="1:12" ht="16.5" x14ac:dyDescent="0.3">
      <c r="C33" s="9"/>
      <c r="D33" s="3">
        <v>1700000</v>
      </c>
    </row>
    <row r="34" spans="1:12" x14ac:dyDescent="0.25">
      <c r="D34" s="3">
        <f>SUM(D31:D33)</f>
        <v>5300000</v>
      </c>
      <c r="E34">
        <f>+D34/500</f>
        <v>10600</v>
      </c>
    </row>
    <row r="35" spans="1:12" ht="16.5" x14ac:dyDescent="0.25">
      <c r="A35" s="17" t="s">
        <v>344</v>
      </c>
      <c r="G35" t="s">
        <v>345</v>
      </c>
    </row>
    <row r="36" spans="1:12" ht="16.5" x14ac:dyDescent="0.3">
      <c r="A36" s="8">
        <v>1</v>
      </c>
      <c r="B36" s="13" t="s">
        <v>346</v>
      </c>
      <c r="C36" s="9">
        <v>36000</v>
      </c>
      <c r="F36" t="s">
        <v>347</v>
      </c>
    </row>
    <row r="37" spans="1:12" ht="16.5" x14ac:dyDescent="0.3">
      <c r="A37" s="8">
        <f>+A36+1</f>
        <v>2</v>
      </c>
      <c r="B37" s="13" t="s">
        <v>348</v>
      </c>
      <c r="C37" s="9">
        <v>22500</v>
      </c>
      <c r="F37" t="s">
        <v>349</v>
      </c>
      <c r="G37">
        <v>5</v>
      </c>
      <c r="H37" s="2">
        <v>105000</v>
      </c>
      <c r="I37">
        <v>6</v>
      </c>
      <c r="J37" s="2">
        <f>+G37*H37*I37</f>
        <v>3150000</v>
      </c>
    </row>
    <row r="38" spans="1:12" ht="33" x14ac:dyDescent="0.3">
      <c r="A38" s="8">
        <f t="shared" ref="A38:A50" si="0">+A37+1</f>
        <v>3</v>
      </c>
      <c r="B38" s="13" t="s">
        <v>350</v>
      </c>
      <c r="C38" s="9">
        <v>18000</v>
      </c>
      <c r="F38" t="s">
        <v>351</v>
      </c>
      <c r="G38">
        <v>5</v>
      </c>
      <c r="H38" s="2">
        <v>600000</v>
      </c>
      <c r="I38">
        <v>1</v>
      </c>
      <c r="J38" s="2">
        <f>+G38*H38*I38</f>
        <v>3000000</v>
      </c>
    </row>
    <row r="39" spans="1:12" ht="33" x14ac:dyDescent="0.3">
      <c r="A39" s="8">
        <f t="shared" si="0"/>
        <v>4</v>
      </c>
      <c r="B39" s="13" t="s">
        <v>352</v>
      </c>
      <c r="C39" s="9">
        <v>18000</v>
      </c>
      <c r="F39" t="s">
        <v>353</v>
      </c>
      <c r="G39">
        <v>5</v>
      </c>
      <c r="H39" s="2">
        <v>120000</v>
      </c>
      <c r="I39">
        <v>1</v>
      </c>
      <c r="J39" s="2">
        <f>+G39*H39*I39</f>
        <v>600000</v>
      </c>
    </row>
    <row r="40" spans="1:12" ht="16.5" x14ac:dyDescent="0.3">
      <c r="A40" s="8">
        <f t="shared" si="0"/>
        <v>5</v>
      </c>
      <c r="B40" s="13" t="s">
        <v>354</v>
      </c>
      <c r="C40" s="9">
        <v>18000</v>
      </c>
      <c r="J40" s="2">
        <f>SUM(J37:J39)</f>
        <v>6750000</v>
      </c>
      <c r="K40" s="3">
        <f>+J40/4</f>
        <v>1687500</v>
      </c>
    </row>
    <row r="41" spans="1:12" ht="16.5" x14ac:dyDescent="0.3">
      <c r="A41" s="8">
        <f t="shared" si="0"/>
        <v>6</v>
      </c>
      <c r="B41" s="13" t="s">
        <v>355</v>
      </c>
      <c r="C41" s="9">
        <v>9000</v>
      </c>
      <c r="K41" s="3">
        <f>+J40+K40</f>
        <v>8437500</v>
      </c>
      <c r="L41" s="2">
        <f>+K41/500</f>
        <v>16875</v>
      </c>
    </row>
    <row r="42" spans="1:12" ht="16.5" x14ac:dyDescent="0.3">
      <c r="A42" s="8">
        <f t="shared" si="0"/>
        <v>7</v>
      </c>
      <c r="B42" s="13" t="s">
        <v>356</v>
      </c>
      <c r="C42" s="9">
        <v>9000</v>
      </c>
    </row>
    <row r="43" spans="1:12" ht="16.5" x14ac:dyDescent="0.3">
      <c r="A43" s="8"/>
      <c r="B43" s="13" t="s">
        <v>357</v>
      </c>
      <c r="C43" s="9">
        <v>9000</v>
      </c>
      <c r="F43" t="s">
        <v>358</v>
      </c>
    </row>
    <row r="44" spans="1:12" ht="16.5" x14ac:dyDescent="0.3">
      <c r="A44" s="8">
        <f>+A42+1</f>
        <v>8</v>
      </c>
      <c r="B44" s="13" t="s">
        <v>359</v>
      </c>
      <c r="C44" s="9">
        <v>22500</v>
      </c>
      <c r="G44">
        <v>50</v>
      </c>
      <c r="H44" s="2">
        <v>10</v>
      </c>
      <c r="I44">
        <v>10000</v>
      </c>
      <c r="J44" s="2">
        <f>+G44*H44*I44</f>
        <v>5000000</v>
      </c>
      <c r="K44">
        <f>+J44/500</f>
        <v>10000</v>
      </c>
    </row>
    <row r="45" spans="1:12" ht="33" x14ac:dyDescent="0.3">
      <c r="A45" s="8">
        <f t="shared" si="0"/>
        <v>9</v>
      </c>
      <c r="B45" s="13" t="s">
        <v>360</v>
      </c>
      <c r="C45" s="9">
        <v>18000</v>
      </c>
    </row>
    <row r="46" spans="1:12" ht="33" x14ac:dyDescent="0.3">
      <c r="A46" s="8">
        <f t="shared" si="0"/>
        <v>10</v>
      </c>
      <c r="B46" s="13" t="s">
        <v>361</v>
      </c>
      <c r="C46" s="9">
        <v>18000</v>
      </c>
    </row>
    <row r="47" spans="1:12" ht="16.5" x14ac:dyDescent="0.3">
      <c r="A47" s="8">
        <f t="shared" si="0"/>
        <v>11</v>
      </c>
      <c r="B47" s="13" t="s">
        <v>362</v>
      </c>
      <c r="C47" s="9">
        <v>18000</v>
      </c>
    </row>
    <row r="48" spans="1:12" ht="16.5" x14ac:dyDescent="0.3">
      <c r="A48" s="8">
        <f t="shared" si="0"/>
        <v>12</v>
      </c>
      <c r="B48" s="13" t="s">
        <v>363</v>
      </c>
      <c r="C48" s="9">
        <v>18000</v>
      </c>
    </row>
    <row r="49" spans="1:4" ht="16.5" x14ac:dyDescent="0.3">
      <c r="A49" s="8">
        <f t="shared" si="0"/>
        <v>13</v>
      </c>
      <c r="B49" s="13" t="s">
        <v>364</v>
      </c>
      <c r="C49" s="9">
        <v>9000</v>
      </c>
    </row>
    <row r="50" spans="1:4" ht="33" x14ac:dyDescent="0.3">
      <c r="A50" s="8">
        <f t="shared" si="0"/>
        <v>14</v>
      </c>
      <c r="B50" s="13" t="s">
        <v>365</v>
      </c>
      <c r="C50" s="9">
        <v>9000</v>
      </c>
    </row>
    <row r="51" spans="1:4" ht="49.5" x14ac:dyDescent="0.3">
      <c r="A51" s="8">
        <v>1</v>
      </c>
      <c r="B51" s="13" t="s">
        <v>366</v>
      </c>
      <c r="C51" s="9">
        <v>9000</v>
      </c>
    </row>
    <row r="52" spans="1:4" ht="33" x14ac:dyDescent="0.3">
      <c r="A52" s="8">
        <v>2</v>
      </c>
      <c r="B52" s="13" t="s">
        <v>367</v>
      </c>
      <c r="C52" s="9">
        <v>9000</v>
      </c>
    </row>
    <row r="53" spans="1:4" ht="49.5" x14ac:dyDescent="0.3">
      <c r="A53" s="8">
        <v>3</v>
      </c>
      <c r="B53" s="13" t="s">
        <v>368</v>
      </c>
      <c r="C53" s="9">
        <v>9000</v>
      </c>
    </row>
    <row r="54" spans="1:4" ht="66" x14ac:dyDescent="0.3">
      <c r="A54" s="8">
        <v>4</v>
      </c>
      <c r="B54" s="13" t="s">
        <v>369</v>
      </c>
      <c r="C54" s="9">
        <v>9000</v>
      </c>
    </row>
    <row r="55" spans="1:4" ht="16.5" x14ac:dyDescent="0.3">
      <c r="A55" s="8"/>
      <c r="B55" s="13" t="s">
        <v>370</v>
      </c>
      <c r="C55" s="9">
        <v>9000</v>
      </c>
    </row>
    <row r="56" spans="1:4" x14ac:dyDescent="0.25">
      <c r="B56" s="10" t="s">
        <v>371</v>
      </c>
      <c r="C56" s="2">
        <f>9000*4</f>
        <v>36000</v>
      </c>
    </row>
    <row r="58" spans="1:4" x14ac:dyDescent="0.25">
      <c r="B58" s="10" t="s">
        <v>7</v>
      </c>
      <c r="C58" s="2">
        <f>SUM(C36:C57)</f>
        <v>333000</v>
      </c>
    </row>
    <row r="59" spans="1:4" x14ac:dyDescent="0.25">
      <c r="C59" s="2">
        <f>+C58*12</f>
        <v>3996000</v>
      </c>
      <c r="D59" s="2">
        <f>+C59/500</f>
        <v>7992</v>
      </c>
    </row>
  </sheetData>
  <mergeCells count="8">
    <mergeCell ref="G5:H5"/>
    <mergeCell ref="G14:H14"/>
    <mergeCell ref="B5:C5"/>
    <mergeCell ref="B14:C14"/>
    <mergeCell ref="D5:E5"/>
    <mergeCell ref="D14:E14"/>
    <mergeCell ref="F5:F6"/>
    <mergeCell ref="F14:F15"/>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F10"/>
  <sheetViews>
    <sheetView workbookViewId="0"/>
  </sheetViews>
  <sheetFormatPr baseColWidth="10" defaultColWidth="11.42578125" defaultRowHeight="15" x14ac:dyDescent="0.25"/>
  <cols>
    <col min="3" max="3" width="35.85546875" customWidth="1"/>
    <col min="4" max="4" width="23.5703125" customWidth="1"/>
    <col min="5" max="5" width="17" customWidth="1"/>
    <col min="6" max="6" width="19.140625" customWidth="1"/>
  </cols>
  <sheetData>
    <row r="2" spans="2:6" x14ac:dyDescent="0.25">
      <c r="C2" t="s">
        <v>2</v>
      </c>
    </row>
    <row r="4" spans="2:6" ht="16.5" x14ac:dyDescent="0.3">
      <c r="B4" s="53"/>
      <c r="C4" s="54"/>
      <c r="D4" s="54" t="s">
        <v>372</v>
      </c>
      <c r="E4" s="54" t="s">
        <v>373</v>
      </c>
      <c r="F4" s="54" t="s">
        <v>374</v>
      </c>
    </row>
    <row r="5" spans="2:6" ht="16.5" x14ac:dyDescent="0.3">
      <c r="B5" s="55"/>
      <c r="C5" s="56"/>
      <c r="D5" s="55"/>
      <c r="E5" s="57"/>
      <c r="F5" s="57"/>
    </row>
    <row r="6" spans="2:6" ht="46.5" x14ac:dyDescent="0.25">
      <c r="B6" s="129" t="s">
        <v>375</v>
      </c>
      <c r="C6" s="130" t="s">
        <v>376</v>
      </c>
      <c r="D6" s="131">
        <f>+'C1A'!J23</f>
        <v>318365</v>
      </c>
      <c r="E6" s="131"/>
      <c r="F6" s="131"/>
    </row>
    <row r="7" spans="2:6" ht="46.5" x14ac:dyDescent="0.25">
      <c r="B7" s="129" t="s">
        <v>377</v>
      </c>
      <c r="C7" s="130" t="s">
        <v>378</v>
      </c>
      <c r="D7" s="131">
        <f>+'C1B'!J7</f>
        <v>11017</v>
      </c>
      <c r="E7" s="131"/>
      <c r="F7" s="131"/>
    </row>
    <row r="8" spans="2:6" ht="46.5" x14ac:dyDescent="0.25">
      <c r="B8" s="129" t="s">
        <v>379</v>
      </c>
      <c r="C8" s="130" t="s">
        <v>380</v>
      </c>
      <c r="D8" s="131">
        <f>+'C1C'!J7</f>
        <v>20500</v>
      </c>
      <c r="E8" s="131"/>
      <c r="F8" s="131"/>
    </row>
    <row r="9" spans="2:6" ht="69.75" x14ac:dyDescent="0.25">
      <c r="B9" s="129" t="s">
        <v>381</v>
      </c>
      <c r="C9" s="130" t="s">
        <v>382</v>
      </c>
      <c r="D9" s="131">
        <f>+'C1D'!I6</f>
        <v>1750</v>
      </c>
      <c r="E9" s="131"/>
      <c r="F9" s="131"/>
    </row>
    <row r="10" spans="2:6" ht="23.25" x14ac:dyDescent="0.25">
      <c r="B10" s="132"/>
      <c r="C10" s="133" t="s">
        <v>7</v>
      </c>
      <c r="D10" s="134">
        <f>SUM(D6:D9)</f>
        <v>351632</v>
      </c>
      <c r="E10" s="135">
        <v>250000</v>
      </c>
      <c r="F10" s="136">
        <f>+D10-E10</f>
        <v>101632</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64673C04CFF664498C6D230F7DC9002D" ma:contentTypeVersion="14" ma:contentTypeDescription="Create a new document." ma:contentTypeScope="" ma:versionID="b4f9a02662d3b8955ba9de210575397a">
  <xsd:schema xmlns:xsd="http://www.w3.org/2001/XMLSchema" xmlns:xs="http://www.w3.org/2001/XMLSchema" xmlns:p="http://schemas.microsoft.com/office/2006/metadata/properties" xmlns:ns2="aeaaafad-0aeb-47f1-beb2-3e40a0446ae1" xmlns:ns3="794cbd40-fc6d-4c0a-9217-0f6cd4b26116" targetNamespace="http://schemas.microsoft.com/office/2006/metadata/properties" ma:root="true" ma:fieldsID="c25ca4ebd4cc55bbee69c056d2bf5514" ns2:_="" ns3:_="">
    <xsd:import namespace="aeaaafad-0aeb-47f1-beb2-3e40a0446ae1"/>
    <xsd:import namespace="794cbd40-fc6d-4c0a-9217-0f6cd4b26116"/>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DateTaken" minOccurs="0"/>
                <xsd:element ref="ns2:MediaServiceEventHashCode" minOccurs="0"/>
                <xsd:element ref="ns2:MediaServiceGenerationTime" minOccurs="0"/>
                <xsd:element ref="ns2:MediaServiceLocation" minOccurs="0"/>
                <xsd:element ref="ns2:MediaServiceAutoKeyPoints" minOccurs="0"/>
                <xsd:element ref="ns2:MediaServiceKeyPoint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eaaafad-0aeb-47f1-beb2-3e40a0446ae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MediaServiceAutoTags" ma:internalName="MediaServiceAutoTags" ma:readOnly="true">
      <xsd:simpleType>
        <xsd:restriction base="dms:Text"/>
      </xsd:simpleType>
    </xsd:element>
    <xsd:element name="MediaServiceOCR" ma:index="13" nillable="true" ma:displayName="MediaServiceOCR"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794cbd40-fc6d-4c0a-9217-0f6cd4b26116"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D6C6B7A-07D8-4804-9210-BC5B1D599771}">
  <ds:schemaRefs>
    <ds:schemaRef ds:uri="http://schemas.microsoft.com/sharepoint/v3/contenttype/forms"/>
  </ds:schemaRefs>
</ds:datastoreItem>
</file>

<file path=customXml/itemProps2.xml><?xml version="1.0" encoding="utf-8"?>
<ds:datastoreItem xmlns:ds="http://schemas.openxmlformats.org/officeDocument/2006/customXml" ds:itemID="{FEE161D3-CBD7-4205-907E-A8639791E71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eaaafad-0aeb-47f1-beb2-3e40a0446ae1"/>
    <ds:schemaRef ds:uri="794cbd40-fc6d-4c0a-9217-0f6cd4b2611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3A2A2E1-9A66-45FB-818A-471A78F1A63D}">
  <ds:schemaRefs>
    <ds:schemaRef ds:uri="http://purl.org/dc/dcmitype/"/>
    <ds:schemaRef ds:uri="http://schemas.openxmlformats.org/package/2006/metadata/core-properties"/>
    <ds:schemaRef ds:uri="http://purl.org/dc/terms/"/>
    <ds:schemaRef ds:uri="http://schemas.microsoft.com/office/2006/documentManagement/types"/>
    <ds:schemaRef ds:uri="http://schemas.microsoft.com/office/2006/metadata/properties"/>
    <ds:schemaRef ds:uri="http://purl.org/dc/elements/1.1/"/>
    <ds:schemaRef ds:uri="http://www.w3.org/XML/1998/namespace"/>
    <ds:schemaRef ds:uri="http://schemas.microsoft.com/office/infopath/2007/PartnerControls"/>
    <ds:schemaRef ds:uri="794cbd40-fc6d-4c0a-9217-0f6cd4b26116"/>
    <ds:schemaRef ds:uri="aeaaafad-0aeb-47f1-beb2-3e40a0446ae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31</vt:i4>
      </vt:variant>
    </vt:vector>
  </HeadingPairs>
  <TitlesOfParts>
    <vt:vector size="31" baseType="lpstr">
      <vt:lpstr>PTBA 2023 (2)</vt:lpstr>
      <vt:lpstr>RECAP 2023 revu</vt:lpstr>
      <vt:lpstr>PTBA 2023 revu</vt:lpstr>
      <vt:lpstr>Feuil1</vt:lpstr>
      <vt:lpstr>RECAP</vt:lpstr>
      <vt:lpstr>PTBA 2023</vt:lpstr>
      <vt:lpstr>RECAP PTBA 2022</vt:lpstr>
      <vt:lpstr>calcul</vt:lpstr>
      <vt:lpstr>C1</vt:lpstr>
      <vt:lpstr>C1A</vt:lpstr>
      <vt:lpstr>C1B</vt:lpstr>
      <vt:lpstr>C1C</vt:lpstr>
      <vt:lpstr>C1D</vt:lpstr>
      <vt:lpstr>C2</vt:lpstr>
      <vt:lpstr>C2A</vt:lpstr>
      <vt:lpstr>C2B</vt:lpstr>
      <vt:lpstr>C2C</vt:lpstr>
      <vt:lpstr>C3</vt:lpstr>
      <vt:lpstr>C3A</vt:lpstr>
      <vt:lpstr>C3B</vt:lpstr>
      <vt:lpstr>C3C</vt:lpstr>
      <vt:lpstr>C3D</vt:lpstr>
      <vt:lpstr>C3E</vt:lpstr>
      <vt:lpstr>C4</vt:lpstr>
      <vt:lpstr>C4A</vt:lpstr>
      <vt:lpstr>C4B</vt:lpstr>
      <vt:lpstr>C4C</vt:lpstr>
      <vt:lpstr>C4D</vt:lpstr>
      <vt:lpstr>C5</vt:lpstr>
      <vt:lpstr>C5A</vt:lpstr>
      <vt:lpstr>C5B</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Schenineda</dc:creator>
  <cp:keywords/>
  <dc:description/>
  <cp:lastModifiedBy>hp</cp:lastModifiedBy>
  <cp:revision/>
  <cp:lastPrinted>2023-02-28T07:36:21Z</cp:lastPrinted>
  <dcterms:created xsi:type="dcterms:W3CDTF">2020-10-26T16:13:38Z</dcterms:created>
  <dcterms:modified xsi:type="dcterms:W3CDTF">2023-06-19T12:47:28Z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0x01010064673C04CFF664498C6D230F7DC9002D</vt:lpwstr>
  </property>
</Properties>
</file>